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75" windowWidth="12000" windowHeight="7620" activeTab="0"/>
  </bookViews>
  <sheets>
    <sheet name="Feuil1" sheetId="1" r:id="rId1"/>
    <sheet name="Feuil2" sheetId="2" r:id="rId2"/>
    <sheet name="Feuil3" sheetId="3" r:id="rId3"/>
  </sheets>
  <definedNames>
    <definedName name="ADDLUBCORSE">'Feuil1'!$R$400</definedName>
    <definedName name="ADDLUBMETRO">'Feuil1'!$Q$400</definedName>
    <definedName name="ADDLUBTGAPCORSE">'Feuil1'!$R$399</definedName>
    <definedName name="ADDLUBTGAPMETRO">'Feuil1'!$Q$399</definedName>
    <definedName name="ARS_sans_IFP">'Feuil1'!$AU$6</definedName>
    <definedName name="cpssp1">'Feuil1'!$BB$3</definedName>
    <definedName name="CPSSPII">'Feuil1'!$BB$8</definedName>
    <definedName name="CPSSPIII">'Feuil1'!$BB$10</definedName>
    <definedName name="CPSSPIV">'Feuil1'!$BB$11</definedName>
    <definedName name="FOD_sans_IFP">'Feuil1'!$AU$5</definedName>
    <definedName name="gazole_sans_IFP">'Feuil1'!$AU$3</definedName>
    <definedName name="HTS_sans_IFP">'Feuil1'!$AU$4</definedName>
    <definedName name="IFPCB">'Feuil1'!$BF$4</definedName>
    <definedName name="IFPESS">'Feuil1'!$BF$3</definedName>
    <definedName name="IFPFL">'Feuil1'!$BF$8</definedName>
    <definedName name="IFPFOD">'Feuil1'!$BF$7</definedName>
    <definedName name="IFPGCC">'Feuil1'!$BF$10</definedName>
    <definedName name="IFPGO">'Feuil1'!$BF$6</definedName>
    <definedName name="IFPGPLC">'Feuil1'!$BF$9</definedName>
    <definedName name="IFPSUP">'Feuil1'!$BF$2</definedName>
    <definedName name="_xlnm.Print_Titles" localSheetId="0">'Feuil1'!$3:$8</definedName>
    <definedName name="P">'Feuil1'!$G$11</definedName>
    <definedName name="R">'Feuil1'!$I$13</definedName>
    <definedName name="Super_sans_plomb_sans_IFP">'Feuil1'!$AU$2</definedName>
    <definedName name="t">'Feuil1'!$W$22</definedName>
    <definedName name="tabloavit">'Feuil1'!$AD$459:$AH$513</definedName>
    <definedName name="tablocpssp">'Feuil1'!$AD$524:$AI$562</definedName>
    <definedName name="tablocpsspetrenvois">'Feuil1'!$AD$524:$AJ$564</definedName>
    <definedName name="tablogeneral">'Feuil1'!$A$1:$R$443</definedName>
    <definedName name="tablogeneraletrenvois">'Feuil1'!$A$1:$Z$442</definedName>
    <definedName name="TEC2707">'Feuil1'!$AM$5</definedName>
    <definedName name="TEC27121090">'Feuil1'!$AM$8</definedName>
    <definedName name="TEC27122090">'Feuil1'!$AM$9</definedName>
    <definedName name="TEC27129039">'Feuil1'!$AM$10</definedName>
    <definedName name="TEC27129099">'Feuil1'!$AM$11</definedName>
    <definedName name="TEC381190">'Feuil1'!$AM$14</definedName>
    <definedName name="TEC3817">'Feuil1'!$AM$15</definedName>
    <definedName name="TEC38249095">'Feuil1'!$AM$19</definedName>
    <definedName name="TEChuilelégère">'Feuil1'!$AM$2</definedName>
    <definedName name="TEChuilelourde">'Feuil1'!$AM$4</definedName>
    <definedName name="TEChuilemoyenne">'Feuil1'!$AM$3</definedName>
    <definedName name="TEClubrifiant">'Feuil1'!$AM$6</definedName>
    <definedName name="TECpropanebutane">'Feuil1'!$AM$7</definedName>
    <definedName name="TGAP">'Feuil1'!$AX$3</definedName>
    <definedName name="TIARS">'Feuil1'!$AS$4</definedName>
    <definedName name="TICBSCE">'Feuil1'!$AS$15</definedName>
    <definedName name="TIEA">'Feuil1'!$AS$3</definedName>
    <definedName name="TIEEGcarb">'Feuil1'!$AS$18</definedName>
    <definedName name="TIEEGsce">'Feuil1'!$AS$17</definedName>
    <definedName name="TIFBTS">'Feuil1'!$AS$9</definedName>
    <definedName name="TIFD">'Feuil1'!$AS$7</definedName>
    <definedName name="TIFHTS">'Feuil1'!$AS$10</definedName>
    <definedName name="TIGC">'Feuil1'!$AS$13</definedName>
    <definedName name="TIGH">'Feuil1'!$AS$11</definedName>
    <definedName name="TIGO">'Feuil1'!$AS$8</definedName>
    <definedName name="TIGP">'Feuil1'!$AS$12</definedName>
    <definedName name="TIGPSCE">'Feuil1'!$AS$16</definedName>
    <definedName name="TISP">'Feuil1'!$AS$2</definedName>
    <definedName name="TVAARSCORSE">'Feuil1'!$R$96</definedName>
    <definedName name="TVAARSMETRO">'Feuil1'!$Q$96</definedName>
    <definedName name="TVAAUTRLAMPAUTR">'Feuil1'!$Q$144</definedName>
    <definedName name="TVABUTAUTREcorse">'Feuil1'!$R$278</definedName>
    <definedName name="TVABUTAUTREmetro">'Feuil1'!$Q$278</definedName>
    <definedName name="TVABUTCARBcorse">'Feuil1'!$R$277</definedName>
    <definedName name="TVABUTCARBmetro">'Feuil1'!$Q$277</definedName>
    <definedName name="TVABUTSCEcorse">'Feuil1'!$R$276</definedName>
    <definedName name="TVABUTSCEmetro">'Feuil1'!$Q$276</definedName>
    <definedName name="TVACARBUAERONEFcorse">'Feuil1'!$AH$462</definedName>
    <definedName name="TVACARBUAERONEFmetro">'Feuil1'!$AG$462</definedName>
    <definedName name="TVAcondC">'Feuil1'!$R$61</definedName>
    <definedName name="TVAcondM">'Feuil1'!$Q$61</definedName>
    <definedName name="TVAFLBTSAUTRECORSE">'Feuil1'!$R$181</definedName>
    <definedName name="TVAFLBTSAUTREMETRO">'Feuil1'!$Q$181</definedName>
    <definedName name="TVAFLBTSCORSE">'Feuil1'!$R$180</definedName>
    <definedName name="TVAFLBTSMETRO">'Feuil1'!$Q$180</definedName>
    <definedName name="TVAFLHTSAUTRECORSE">"$Feuil1.$#REF !$#REF !"</definedName>
    <definedName name="TVAFLHTSAUTREMETRO">"$Feuil1.$#REF !$#REF !"</definedName>
    <definedName name="TVAFLHTSCORSE">'Feuil1'!$R$205</definedName>
    <definedName name="TVAFLHTSMETRO">'Feuil1'!$Q$205</definedName>
    <definedName name="TVAFODCORSE">'Feuil1'!$R$156</definedName>
    <definedName name="TVAFODMETRO">'Feuil1'!$Q$156</definedName>
    <definedName name="TVAGAZNATCARBCORSE">'Feuil1'!$R$290</definedName>
    <definedName name="TVAGAZNATCARBMETRO">'Feuil1'!$Q$290</definedName>
    <definedName name="TVAGAZOLAUTRECORSE">'Feuil1'!$R$158</definedName>
    <definedName name="TVAGAZOLAUTREMETRO">'Feuil1'!$Q$158</definedName>
    <definedName name="TVAGOAUTRCORSE">'Feuil1'!$R$168</definedName>
    <definedName name="TVAGOAUTRMETRO">'Feuil1'!$Q$168</definedName>
    <definedName name="TVAGOCORSE">'Feuil1'!$R$160</definedName>
    <definedName name="TVAGOMETRO">'Feuil1'!$Q$160</definedName>
    <definedName name="TVALAMPANTCOMBCORSE">'Feuil1'!$R$142</definedName>
    <definedName name="TVALAMPANTCOMBMETRO">'Feuil1'!$Q$142</definedName>
    <definedName name="TVALUBCORSE">'Feuil1'!$R$218</definedName>
    <definedName name="TVALUBMETRO">'Feuil1'!$Q$218</definedName>
    <definedName name="TVAPARAFAUTRECORSE">'Feuil1'!$R$300</definedName>
    <definedName name="TVAPARAFAUTREMETRO">'Feuil1'!$Q$300</definedName>
    <definedName name="TVAPLCORSE">'Feuil1'!$R$143</definedName>
    <definedName name="TVAPLMETRO">'Feuil1'!$Q$143</definedName>
    <definedName name="TVAPROAUTREcorse">'Feuil1'!$R$265</definedName>
    <definedName name="TVAPROAUTREmetro">'Feuil1'!$Q$265</definedName>
    <definedName name="TVAPROCARBcorse">'Feuil1'!$R$264</definedName>
    <definedName name="TVAPROCARBmetro">'Feuil1'!$Q$264</definedName>
    <definedName name="TVAPROSCEcorse">'Feuil1'!$R$263</definedName>
    <definedName name="TVAPROSCEmetro">'Feuil1'!$Q$263</definedName>
    <definedName name="TVASPCORSE">'Feuil1'!$R$98</definedName>
    <definedName name="TVASPMETRO">'Feuil1'!$Q$98</definedName>
    <definedName name="TVATGAPLUBCORSE">'Feuil1'!$R$217</definedName>
    <definedName name="TVATGAPLUBMETRO">'Feuil1'!$Q$217</definedName>
    <definedName name="TVAVASCIREAUTCORSE">'Feuil1'!$R$297</definedName>
    <definedName name="TVAVASCIREAUTMETRO">'Feuil1'!$Q$297</definedName>
    <definedName name="tvavascirparafbrutecorse">'Feuil1'!$R$305</definedName>
    <definedName name="tvavascirparafbrutmetro">'Feuil1'!$Q$305</definedName>
    <definedName name="TVAWSCOMBUCORSE">'Feuil1'!$R$80</definedName>
    <definedName name="TVAWSCOMBUMETRO">'Feuil1'!$Q$80</definedName>
    <definedName name="VFADDITIF">'Feuil1'!$AP$19</definedName>
    <definedName name="VFARS">'Feuil1'!$AP$3</definedName>
    <definedName name="VFBS">'Feuil1'!$AP$10</definedName>
    <definedName name="VFBUT">'Feuil1'!$AP$11</definedName>
    <definedName name="VFCB">'Feuil1'!$AP$5</definedName>
    <definedName name="VFEA">'Feuil1'!$AP$6</definedName>
    <definedName name="VFES">'Feuil1'!$AP$2</definedName>
    <definedName name="VFFHS">'Feuil1'!$AP$9</definedName>
    <definedName name="VFFOD">'Feuil1'!$AP$20</definedName>
    <definedName name="VFGO">'Feuil1'!$AP$8</definedName>
    <definedName name="VFHL">'Feuil1'!$AP$13</definedName>
    <definedName name="VFPARAFAUTRES">'Feuil1'!$AP$18</definedName>
    <definedName name="VFPL">'Feuil1'!$AP$7</definedName>
    <definedName name="VFPRO">'Feuil1'!$AP$12</definedName>
    <definedName name="vfspb">'Feuil1'!$AP$4</definedName>
    <definedName name="VFVASCIRAUTRE">'Feuil1'!$AP$17</definedName>
    <definedName name="VFVASCIRPARAFBRUTES">'Feuil1'!$AP$16</definedName>
    <definedName name="VFWS">'Feuil1'!$AP$14</definedName>
    <definedName name="VI">'Feuil1'!$Q$13</definedName>
    <definedName name="_xlnm.Print_Area" localSheetId="0">'Feuil1'!$A$3:$R$442</definedName>
  </definedNames>
  <calcPr fullCalcOnLoad="1"/>
</workbook>
</file>

<file path=xl/sharedStrings.xml><?xml version="1.0" encoding="utf-8"?>
<sst xmlns="http://schemas.openxmlformats.org/spreadsheetml/2006/main" count="1854" uniqueCount="1759">
  <si>
    <t xml:space="preserve"> - - Mélange d'alkynaphatalènes contenant en poids plus de 88 % ou plus mais pas plus de 98 % d'hexadécylnaphtalène ou plus mais pas plus de 12 % de dihexadécylnaphtalène :  </t>
  </si>
  <si>
    <t>38 17 00.80.10.0.1 Y</t>
  </si>
  <si>
    <t>- - - autres (26)……………………………………………………………………………………</t>
  </si>
  <si>
    <t>38 17 00.80.10.0.9 P</t>
  </si>
  <si>
    <t>38 17 00.80.90.0.1 E</t>
  </si>
  <si>
    <t>38 17 00.80.90.0.9 Q</t>
  </si>
  <si>
    <t>38 24.90.99.99.0.1 V</t>
  </si>
  <si>
    <t>38 24.90.99.99.0.2 D</t>
  </si>
  <si>
    <t>38 24.90.99.99.0.3 Y</t>
  </si>
  <si>
    <t>29 01.10.00.00.0.0 E</t>
  </si>
  <si>
    <t>29 01.21.00.00.0.0 C</t>
  </si>
  <si>
    <t xml:space="preserve">                         * * * * d'un indice d'octane supérieur ou égal à 97,contenant un additif spécifique à base de potassium améliorant les caractéristiques anti-récession de soupape (ARS) et d'une teneur en plomb n'excédant pas 0,005 g par litre (26)(30)(32)      </t>
  </si>
  <si>
    <t xml:space="preserve">                       * * *  destinés à un autre usage que carburant ou combustible (15).(30)(32).</t>
  </si>
  <si>
    <t xml:space="preserve">                       * * * destinés à être utilisés comme combustible, autres (26)(30)(32)</t>
  </si>
  <si>
    <t xml:space="preserve">            * sous conditions d'emploi  (11) (16) (19)(30)(32)...................................................................…</t>
  </si>
  <si>
    <t xml:space="preserve"> . . .</t>
  </si>
  <si>
    <t>100 Kg</t>
  </si>
  <si>
    <t xml:space="preserve"> . . .</t>
  </si>
  <si>
    <t>27 11.12.97.00.0.2 E</t>
  </si>
  <si>
    <t xml:space="preserve">             * destiné à être utilisé comme carburant (11) (19)(30)(32).................................................</t>
  </si>
  <si>
    <t xml:space="preserve"> . . .</t>
  </si>
  <si>
    <t>100 Kg</t>
  </si>
  <si>
    <t>27 11.12.97.00.0.9 F</t>
  </si>
  <si>
    <t xml:space="preserve">             * autres (19)(26)(30)(32).........................................................................................................................................</t>
  </si>
  <si>
    <t xml:space="preserve"> . . .</t>
  </si>
  <si>
    <t>100 Kg</t>
  </si>
  <si>
    <t>Ex</t>
  </si>
  <si>
    <t xml:space="preserve"> . . .</t>
  </si>
  <si>
    <t xml:space="preserve"> - - Butanes  :</t>
  </si>
  <si>
    <t xml:space="preserve"> </t>
  </si>
  <si>
    <t>27 11.13.10.00.0.0 V</t>
  </si>
  <si>
    <t xml:space="preserve"> - - - Destinés à subir un traitement défini (3) (19) (30)(32).............................................................................</t>
  </si>
  <si>
    <t xml:space="preserve"> . . .</t>
  </si>
  <si>
    <t>Ex</t>
  </si>
  <si>
    <t xml:space="preserve"> . . .</t>
  </si>
  <si>
    <t xml:space="preserve"> . . .</t>
  </si>
  <si>
    <t xml:space="preserve"> . . .</t>
  </si>
  <si>
    <t>Ex</t>
  </si>
  <si>
    <t>27 11.13.30.00.0.0 G</t>
  </si>
  <si>
    <t xml:space="preserve"> - - - Destinés à subir une transformation chimique par un traitement autre que ceux</t>
  </si>
  <si>
    <t xml:space="preserve">       définis pour la sous-position 27 11 13 10 (3) (19) (30)(32)......................................................................…</t>
  </si>
  <si>
    <t xml:space="preserve"> . . .</t>
  </si>
  <si>
    <t>Ex</t>
  </si>
  <si>
    <t xml:space="preserve"> . . .</t>
  </si>
  <si>
    <t xml:space="preserve"> . . .</t>
  </si>
  <si>
    <t xml:space="preserve"> . . .</t>
  </si>
  <si>
    <t>Ex</t>
  </si>
  <si>
    <t xml:space="preserve"> - - - Destinés à d'autres usages :</t>
  </si>
  <si>
    <t xml:space="preserve"> - - - - d'une pureté supérieure à 90% mais inférieure à 95% :</t>
  </si>
  <si>
    <t>27 11.13.91.00.0.1 P</t>
  </si>
  <si>
    <t xml:space="preserve"> - - - - - sous conditions d'emploi  (11) (16) (19)(30)(32)...................................................................…</t>
  </si>
  <si>
    <t xml:space="preserve"> . . .</t>
  </si>
  <si>
    <t>100 Kg</t>
  </si>
  <si>
    <t xml:space="preserve"> . . .</t>
  </si>
  <si>
    <t>27 11.13.91.00.0.2 S</t>
  </si>
  <si>
    <t xml:space="preserve"> - - - - - destiné à être utilisé comme carburant (11)(19)(30)(32).................................................</t>
  </si>
  <si>
    <t xml:space="preserve"> . . .</t>
  </si>
  <si>
    <t>100 Kg</t>
  </si>
  <si>
    <t>27 11.13.91.00.0 9 C</t>
  </si>
  <si>
    <t xml:space="preserve"> - - - - - autres (19)(26) (30)(32)..................................................................................................................................................</t>
  </si>
  <si>
    <t xml:space="preserve"> . . .</t>
  </si>
  <si>
    <t>100 Kg</t>
  </si>
  <si>
    <t>Ex</t>
  </si>
  <si>
    <t xml:space="preserve"> . . .</t>
  </si>
  <si>
    <t xml:space="preserve"> - - - - autres :</t>
  </si>
  <si>
    <t>27 11.13.97.00.0.1 M</t>
  </si>
  <si>
    <t xml:space="preserve"> - - - - -  sous conditions d'emploi  (11) (16) (19) (30)(32)..................................................................…</t>
  </si>
  <si>
    <t xml:space="preserve"> . . .</t>
  </si>
  <si>
    <t>100 Kg</t>
  </si>
  <si>
    <t xml:space="preserve"> . . .</t>
  </si>
  <si>
    <t>27 11.13.97.00.0.2 T</t>
  </si>
  <si>
    <t xml:space="preserve"> - - - - -  destiné à être utilisé comme carburant (11) (19) (30)(32)...............................................</t>
  </si>
  <si>
    <t xml:space="preserve"> . . .</t>
  </si>
  <si>
    <t>100 Kg</t>
  </si>
  <si>
    <t>27 11.13.97.00.0.9 S</t>
  </si>
  <si>
    <t xml:space="preserve"> - - - - -  autres (19)(26)(30)(32).................................................................................................................................................</t>
  </si>
  <si>
    <t>100 Kg</t>
  </si>
  <si>
    <t>Ex</t>
  </si>
  <si>
    <t>27 11.14.00.00.0.0 P</t>
  </si>
  <si>
    <t xml:space="preserve"> - - Ethylène, propylène, butylène et butadiène, liquéfiés (13) (30)(32).........................................................</t>
  </si>
  <si>
    <t>Ex</t>
  </si>
  <si>
    <t>Ex</t>
  </si>
  <si>
    <t>Ex</t>
  </si>
  <si>
    <t xml:space="preserve"> - -  Autres gaz de pétrole liquéfiés :</t>
  </si>
  <si>
    <t>27 11.19.00.00.0.1 C</t>
  </si>
  <si>
    <t xml:space="preserve"> - - -  sous conditions d'emploi (11) (16) (19) (30)(32).....................................................................…</t>
  </si>
  <si>
    <t>Ex</t>
  </si>
  <si>
    <t>100 Kg</t>
  </si>
  <si>
    <t>Ex</t>
  </si>
  <si>
    <t xml:space="preserve"> . . .</t>
  </si>
  <si>
    <t>27 11.19.00.00.0.2 H</t>
  </si>
  <si>
    <t xml:space="preserve"> - - - destiné à être utilisé comme carburant  (11) (19) (30)(32)............................................................................…</t>
  </si>
  <si>
    <t>Ex</t>
  </si>
  <si>
    <t>100 Kg</t>
  </si>
  <si>
    <t>Ex</t>
  </si>
  <si>
    <t>27 11.19.00.00.0.9 M</t>
  </si>
  <si>
    <t xml:space="preserve"> - - -  Autres (19) (26)(30)(32)............................................................................................................................................................</t>
  </si>
  <si>
    <t xml:space="preserve"> . . .</t>
  </si>
  <si>
    <t>Ex</t>
  </si>
  <si>
    <t xml:space="preserve"> . . .</t>
  </si>
  <si>
    <t xml:space="preserve"> . . .</t>
  </si>
  <si>
    <t xml:space="preserve"> . . .</t>
  </si>
  <si>
    <t>Ex</t>
  </si>
  <si>
    <t>Ex</t>
  </si>
  <si>
    <t xml:space="preserve"> . . .</t>
  </si>
  <si>
    <t xml:space="preserve"> - A l'etat gazeux :</t>
  </si>
  <si>
    <t xml:space="preserve"> - - Gaz naturel :</t>
  </si>
  <si>
    <t>27 11.21.00.00.0.1 K</t>
  </si>
  <si>
    <t xml:space="preserve"> - - - comprimé, destiné à être utilisé comme carburant  (11) (30).…………………………………………………….................</t>
  </si>
  <si>
    <t xml:space="preserve">TJ </t>
  </si>
  <si>
    <t>Ex</t>
  </si>
  <si>
    <t xml:space="preserve"> . . .</t>
  </si>
  <si>
    <t xml:space="preserve"> . . .</t>
  </si>
  <si>
    <t>100M3</t>
  </si>
  <si>
    <t>Ex</t>
  </si>
  <si>
    <t xml:space="preserve"> . . .</t>
  </si>
  <si>
    <t xml:space="preserve"> - - Autres :</t>
  </si>
  <si>
    <t>27 11.29.00.00.0.1 A</t>
  </si>
  <si>
    <t xml:space="preserve"> - - - gaz de raffinerie destiné à être utilisé comme carburant  (11)(26) (30)(32)....................................................</t>
  </si>
  <si>
    <t>1000m3</t>
  </si>
  <si>
    <t>Ex</t>
  </si>
  <si>
    <t>100M3</t>
  </si>
  <si>
    <t>Ex</t>
  </si>
  <si>
    <t>27 11.29.00.00.0.3 S</t>
  </si>
  <si>
    <t xml:space="preserve"> - - - autres, destinés à être utilisés comme carburant  (11) (30)(32)...........................................................................</t>
  </si>
  <si>
    <t>1000m3</t>
  </si>
  <si>
    <t>Ex</t>
  </si>
  <si>
    <t>100M3</t>
  </si>
  <si>
    <t>Ex</t>
  </si>
  <si>
    <t>27 11.29.00.00.0.9 X</t>
  </si>
  <si>
    <t xml:space="preserve"> - - - autres, destinés à d'autres usages (26)(30)(32)............................................................................................</t>
  </si>
  <si>
    <t>1000m3</t>
  </si>
  <si>
    <t>Ex</t>
  </si>
  <si>
    <t>Ex</t>
  </si>
  <si>
    <t>Ex</t>
  </si>
  <si>
    <t xml:space="preserve"> - Vaseline  :</t>
  </si>
  <si>
    <t>27 12.10.10.00.0.0 K</t>
  </si>
  <si>
    <t xml:space="preserve"> - - brute (13) (26)(30)............................................................................................................................................................................</t>
  </si>
  <si>
    <t>Ex</t>
  </si>
  <si>
    <t>100 Kg</t>
  </si>
  <si>
    <t>Ex</t>
  </si>
  <si>
    <t>Ex</t>
  </si>
  <si>
    <t>27 12.10.90.00.0.0 E</t>
  </si>
  <si>
    <t xml:space="preserve"> - - autre (13) (26)(30)........................................................................................................................................................</t>
  </si>
  <si>
    <t xml:space="preserve"> . . .</t>
  </si>
  <si>
    <t xml:space="preserve"> . . .</t>
  </si>
  <si>
    <t xml:space="preserve"> . . .</t>
  </si>
  <si>
    <t>100 Kg</t>
  </si>
  <si>
    <t>Ex</t>
  </si>
  <si>
    <t xml:space="preserve"> . . .</t>
  </si>
  <si>
    <t xml:space="preserve"> - Paraffine contenant en poids moins de 0,75% d'huile :</t>
  </si>
  <si>
    <t>27 12.20.10.00.0.0 E</t>
  </si>
  <si>
    <t xml:space="preserve"> - - Paraffine synthétique de poids moléculaire compris entre 460 et 1560 (13) (26)(30)..........................</t>
  </si>
  <si>
    <t>Ex</t>
  </si>
  <si>
    <t>100 Kg</t>
  </si>
  <si>
    <t>Ex</t>
  </si>
  <si>
    <t>Ex</t>
  </si>
  <si>
    <t>27 12.20.90.00.0.0 L</t>
  </si>
  <si>
    <t xml:space="preserve"> - - Autre (13) (26)(30)..................................................................................................................................................................</t>
  </si>
  <si>
    <t xml:space="preserve"> . . .</t>
  </si>
  <si>
    <t xml:space="preserve"> . . .</t>
  </si>
  <si>
    <t xml:space="preserve"> . . .</t>
  </si>
  <si>
    <t>100 Kg</t>
  </si>
  <si>
    <t>Ex</t>
  </si>
  <si>
    <t xml:space="preserve"> . . .</t>
  </si>
  <si>
    <t xml:space="preserve"> - Paraffine, cire de pétrole et résidus paraffineux, bruts :</t>
  </si>
  <si>
    <t>27 12.90.31.00.0.0 R</t>
  </si>
  <si>
    <t xml:space="preserve"> - - destinés à subir un traitement défini (3) (13) (30)......................................................................................</t>
  </si>
  <si>
    <t xml:space="preserve"> . . .</t>
  </si>
  <si>
    <t>Ex</t>
  </si>
  <si>
    <t xml:space="preserve"> . . .</t>
  </si>
  <si>
    <t xml:space="preserve"> . . .</t>
  </si>
  <si>
    <t xml:space="preserve"> Réelle</t>
  </si>
  <si>
    <t xml:space="preserve"> . . .</t>
  </si>
  <si>
    <t>Ex</t>
  </si>
  <si>
    <t>27 12.90.33.00.0.0 T</t>
  </si>
  <si>
    <t xml:space="preserve"> - - destinés à subir une transformation chimique par un traitement autre </t>
  </si>
  <si>
    <t xml:space="preserve">     que ceux définis pour la sous-position 27 12 90 31 (3) (13) (30).............................................................…</t>
  </si>
  <si>
    <t xml:space="preserve"> . . .</t>
  </si>
  <si>
    <t>Ex</t>
  </si>
  <si>
    <t xml:space="preserve"> . . .</t>
  </si>
  <si>
    <t xml:space="preserve"> . . .</t>
  </si>
  <si>
    <t xml:space="preserve"> Réelle</t>
  </si>
  <si>
    <t xml:space="preserve"> . . .</t>
  </si>
  <si>
    <t>Ex</t>
  </si>
  <si>
    <t xml:space="preserve">27 12.90.39.00.0.0 W </t>
  </si>
  <si>
    <t xml:space="preserve"> - - destinés à d'autres usages (26):</t>
  </si>
  <si>
    <t>100 Kg</t>
  </si>
  <si>
    <t>Ex</t>
  </si>
  <si>
    <t xml:space="preserve"> - Autres :</t>
  </si>
  <si>
    <t xml:space="preserve"> - - mélange de 1-alcènes contenant en poids 80% ou plus de 1-alcène dont  </t>
  </si>
  <si>
    <t xml:space="preserve">    la chaine est  &gt; ou = à 24 &amp; &lt; à 28 atomes de carbone :</t>
  </si>
  <si>
    <t>27 12.90.91.00.0.1 R</t>
  </si>
  <si>
    <t xml:space="preserve"> - - - cires de pétrole ou de minéraux bitumineux (13) (26)(30)......................................................................................</t>
  </si>
  <si>
    <t>Ex</t>
  </si>
  <si>
    <t>100 Kg</t>
  </si>
  <si>
    <t>Ex</t>
  </si>
  <si>
    <t>Ex</t>
  </si>
  <si>
    <t>27 12.90.91.00.0.9 N</t>
  </si>
  <si>
    <t xml:space="preserve"> - - - paraffine et résidus paraffineux (13) (26)(30)..........................................................................................…</t>
  </si>
  <si>
    <t>Ex</t>
  </si>
  <si>
    <t>100 Kg</t>
  </si>
  <si>
    <t>Ex</t>
  </si>
  <si>
    <t>Ex</t>
  </si>
  <si>
    <t xml:space="preserve"> - - autres :</t>
  </si>
  <si>
    <t xml:space="preserve"> - - - mélange de 1-alcènes contenant en poids 80% ou plus de 1-alcène d'une</t>
  </si>
  <si>
    <t xml:space="preserve">         longueur de chaine de 20 ou 22 atomes de carbone  :</t>
  </si>
  <si>
    <t>27 12.90.99.10.0.1 Z</t>
  </si>
  <si>
    <t xml:space="preserve"> - - - - cires de pétrole ou de minéraux bitumineux (13) (26)(30) .............................................................</t>
  </si>
  <si>
    <t>. . .</t>
  </si>
  <si>
    <t>. . .</t>
  </si>
  <si>
    <t>. . .</t>
  </si>
  <si>
    <t>100 Kg</t>
  </si>
  <si>
    <t>Ex</t>
  </si>
  <si>
    <t>. . .</t>
  </si>
  <si>
    <t>27 12.90.99.10.0.9 J</t>
  </si>
  <si>
    <t xml:space="preserve"> - - - - paraffine et résidus paraffineux (13)(26) (30)  ..................................................................................</t>
  </si>
  <si>
    <t>. . .</t>
  </si>
  <si>
    <t>. . .</t>
  </si>
  <si>
    <t>. . .</t>
  </si>
  <si>
    <t>100 Kg</t>
  </si>
  <si>
    <t>Ex</t>
  </si>
  <si>
    <t>. . .</t>
  </si>
  <si>
    <t xml:space="preserve"> - - - autres :</t>
  </si>
  <si>
    <t>27 12.90.99.90.0.1 T</t>
  </si>
  <si>
    <t xml:space="preserve"> - - - - cires de pétrole ou de minéraux bitumineux (13) (26)(30)....................................................................…</t>
  </si>
  <si>
    <t>100 Kg</t>
  </si>
  <si>
    <t>Ex</t>
  </si>
  <si>
    <t>27 12.90.99.90.0.9 L</t>
  </si>
  <si>
    <t xml:space="preserve"> - - - - paraffine et résidus paraffineux (13) (26)(30)..................................................................................................</t>
  </si>
  <si>
    <t xml:space="preserve"> . . .</t>
  </si>
  <si>
    <t xml:space="preserve"> . . .</t>
  </si>
  <si>
    <t xml:space="preserve"> . . .</t>
  </si>
  <si>
    <t>100 Kg</t>
  </si>
  <si>
    <t>Ex</t>
  </si>
  <si>
    <t xml:space="preserve"> . . .</t>
  </si>
  <si>
    <t xml:space="preserve"> Mélanges bitumineux à base d'asphalte ou de bitume naturels, de bitume </t>
  </si>
  <si>
    <t>de pétrole, de goudron minéral ou de brai de goudron minéral (extrait) :</t>
  </si>
  <si>
    <t>27 15.00.00.00.0.1 T</t>
  </si>
  <si>
    <t xml:space="preserve"> - Bitumes fluxés (cut-backs), émulsions de bitume de pétrole et similaires (13)(26)(30)....…………………..............</t>
  </si>
  <si>
    <t>Ex</t>
  </si>
  <si>
    <t xml:space="preserve"> 100 Kg</t>
  </si>
  <si>
    <t>Ex</t>
  </si>
  <si>
    <t>Ex</t>
  </si>
  <si>
    <t>. . .</t>
  </si>
  <si>
    <t>27 15.00.00.00.0.9 L</t>
  </si>
  <si>
    <t xml:space="preserve"> - Autres (13)(26)..............……………........................................................................................…</t>
  </si>
  <si>
    <t>Ex</t>
  </si>
  <si>
    <t xml:space="preserve"> 100 Kg</t>
  </si>
  <si>
    <t>Ex</t>
  </si>
  <si>
    <t>Ex</t>
  </si>
  <si>
    <t>. . .</t>
  </si>
  <si>
    <t>TVO</t>
  </si>
  <si>
    <t>Hydrocarbures acycliques</t>
  </si>
  <si>
    <t xml:space="preserve"> - saturés</t>
  </si>
  <si>
    <t>Hl</t>
  </si>
  <si>
    <t>. . .</t>
  </si>
  <si>
    <t>Ex</t>
  </si>
  <si>
    <t>Ex</t>
  </si>
  <si>
    <t>. . .</t>
  </si>
  <si>
    <t xml:space="preserve"> - non saturés</t>
  </si>
  <si>
    <t xml:space="preserve"> - - Ethylène</t>
  </si>
  <si>
    <t>29 01.22.00.00.0.0 D</t>
  </si>
  <si>
    <t xml:space="preserve"> - - Propène (propylène)(13)(26)……………..</t>
  </si>
  <si>
    <t>. . .</t>
  </si>
  <si>
    <t>Ex</t>
  </si>
  <si>
    <t>Hl</t>
  </si>
  <si>
    <t>Ex</t>
  </si>
  <si>
    <t>. . .</t>
  </si>
  <si>
    <t xml:space="preserve"> - - Butène (butylène et ses isomères)</t>
  </si>
  <si>
    <t>29 01.23.10.00.0.0 M</t>
  </si>
  <si>
    <t xml:space="preserve"> - - - But-1-ène et but-2-ène (13)(26)…………………………..</t>
  </si>
  <si>
    <t>. . .</t>
  </si>
  <si>
    <t>Ex</t>
  </si>
  <si>
    <t>Hl</t>
  </si>
  <si>
    <t>Ex</t>
  </si>
  <si>
    <t>. . .</t>
  </si>
  <si>
    <t>29 01.23.90.00.0.0 X</t>
  </si>
  <si>
    <t xml:space="preserve"> - - - Autres (13)(26)…………………………..</t>
  </si>
  <si>
    <t>. . .</t>
  </si>
  <si>
    <t>Ex</t>
  </si>
  <si>
    <t>Hl</t>
  </si>
  <si>
    <t>Ex</t>
  </si>
  <si>
    <t>. . .</t>
  </si>
  <si>
    <t xml:space="preserve"> - - Buta-1, 3-diène et isoprène : </t>
  </si>
  <si>
    <t>29 01.24.10.00.0.0 A</t>
  </si>
  <si>
    <t xml:space="preserve"> - - - Buta-1, 3 diène (13) (26)…………………………..</t>
  </si>
  <si>
    <t>. . .</t>
  </si>
  <si>
    <t>Ex</t>
  </si>
  <si>
    <t>Hl</t>
  </si>
  <si>
    <t>Ex</t>
  </si>
  <si>
    <t>. . .</t>
  </si>
  <si>
    <t>29 01.24.90.00.0.0 V</t>
  </si>
  <si>
    <t xml:space="preserve"> - - - Isoprène (13)(26)…………………………..</t>
  </si>
  <si>
    <t>. . .</t>
  </si>
  <si>
    <t>Ex</t>
  </si>
  <si>
    <t>Hl</t>
  </si>
  <si>
    <t>Ex</t>
  </si>
  <si>
    <t>. . .</t>
  </si>
  <si>
    <t>29 01.29.00.00.0.0 W</t>
  </si>
  <si>
    <t xml:space="preserve"> - - Autres (13)(26)……………</t>
  </si>
  <si>
    <t>. . .</t>
  </si>
  <si>
    <t>Ex</t>
  </si>
  <si>
    <t>Hl</t>
  </si>
  <si>
    <t>Ex</t>
  </si>
  <si>
    <t>. . .</t>
  </si>
  <si>
    <t>Hydrocarbures cycliques</t>
  </si>
  <si>
    <t xml:space="preserve"> - Cyclaniques, cyclèniques ou cycloterpéniques : </t>
  </si>
  <si>
    <t xml:space="preserve"> - - Cyclohexane</t>
  </si>
  <si>
    <t>29 02.11.00.00.0.1 K</t>
  </si>
  <si>
    <t xml:space="preserve"> - - - destinés à être utilisés comme carburant ou comme combustible (13)(26)……………..</t>
  </si>
  <si>
    <t>. . .</t>
  </si>
  <si>
    <t>Ex</t>
  </si>
  <si>
    <t>Hl</t>
  </si>
  <si>
    <t>Ex</t>
  </si>
  <si>
    <t>. . .</t>
  </si>
  <si>
    <t>29 02.11.00.00.0.9 G</t>
  </si>
  <si>
    <t xml:space="preserve"> - - - destinés à d'autres usages ………………………………………………………………………</t>
  </si>
  <si>
    <t>. . .</t>
  </si>
  <si>
    <t>Ex</t>
  </si>
  <si>
    <t>Ex</t>
  </si>
  <si>
    <t>Ex</t>
  </si>
  <si>
    <t>. . .</t>
  </si>
  <si>
    <t xml:space="preserve"> - - Autres</t>
  </si>
  <si>
    <t xml:space="preserve"> - - - Autres : </t>
  </si>
  <si>
    <t>29 02.19.80.00.0.1 V</t>
  </si>
  <si>
    <t xml:space="preserve"> - - - - destiné à être utilisé comme carburant ou combustible (13)(26) …………………………</t>
  </si>
  <si>
    <t>. . .</t>
  </si>
  <si>
    <t>Ex</t>
  </si>
  <si>
    <t>Hl</t>
  </si>
  <si>
    <t>Ex</t>
  </si>
  <si>
    <t>. . .</t>
  </si>
  <si>
    <t>29 02.19.80.00.0.9 Z</t>
  </si>
  <si>
    <t xml:space="preserve"> - - - - destiné à d'autres usages ……………………………………………………………..</t>
  </si>
  <si>
    <t>. . .</t>
  </si>
  <si>
    <t>Ex</t>
  </si>
  <si>
    <t>Ex</t>
  </si>
  <si>
    <t>Ex</t>
  </si>
  <si>
    <t>. . .</t>
  </si>
  <si>
    <t xml:space="preserve"> - Benzène :  </t>
  </si>
  <si>
    <t>29 02.20.00.00.0.1 G</t>
  </si>
  <si>
    <t xml:space="preserve"> - - destinés à être utilisés comme carburant ou comme combustible (13)(32)(26)……………….</t>
  </si>
  <si>
    <t>. . .</t>
  </si>
  <si>
    <t>Ex</t>
  </si>
  <si>
    <t>Hl</t>
  </si>
  <si>
    <t>Ex</t>
  </si>
  <si>
    <t>. . .</t>
  </si>
  <si>
    <t>29 02.20.00.00.0.9 V</t>
  </si>
  <si>
    <t xml:space="preserve"> - - destinés à d'autres usages (32)………………………………………………………………………..</t>
  </si>
  <si>
    <t>. . .</t>
  </si>
  <si>
    <t>Ex</t>
  </si>
  <si>
    <t>Ex</t>
  </si>
  <si>
    <t>Ex</t>
  </si>
  <si>
    <t>. . .</t>
  </si>
  <si>
    <t xml:space="preserve"> - Toluène  : </t>
  </si>
  <si>
    <t xml:space="preserve"> - - destinés à être utilisés comme carburant ou comme combustible (13) (32)(26)……………..</t>
  </si>
  <si>
    <t>. . .</t>
  </si>
  <si>
    <t>Ex</t>
  </si>
  <si>
    <t>Hl</t>
  </si>
  <si>
    <t>Ex</t>
  </si>
  <si>
    <t>. . .</t>
  </si>
  <si>
    <t>29 02.30.00.00.0.9 R</t>
  </si>
  <si>
    <t xml:space="preserve"> - - destinés à d'autres usages (32)………………………………………………………………………..</t>
  </si>
  <si>
    <t>. . .</t>
  </si>
  <si>
    <t>Ex</t>
  </si>
  <si>
    <t>Ex</t>
  </si>
  <si>
    <t>Ex</t>
  </si>
  <si>
    <t>. . .</t>
  </si>
  <si>
    <t xml:space="preserve"> - Xylène  : </t>
  </si>
  <si>
    <t>29 02.41.00.00.0.0 Y</t>
  </si>
  <si>
    <t xml:space="preserve"> - - o-Xylène (13) (26)(32)…………………………………………………………………………………………………</t>
  </si>
  <si>
    <t>. . .</t>
  </si>
  <si>
    <t>Ex</t>
  </si>
  <si>
    <t>Ex</t>
  </si>
  <si>
    <t>. . .</t>
  </si>
  <si>
    <t>29 02.42.00.00.0.0 Z</t>
  </si>
  <si>
    <t xml:space="preserve"> - - m-Xylène (13)(26) (32)………………………………………………………………………………………………..</t>
  </si>
  <si>
    <t>. . .</t>
  </si>
  <si>
    <t>Ex</t>
  </si>
  <si>
    <t>Ex</t>
  </si>
  <si>
    <t>. . .</t>
  </si>
  <si>
    <t>29 02.43.00.00.0.0 R</t>
  </si>
  <si>
    <t xml:space="preserve"> - - p-Xylène (13)(26) (32)………………………………………………………………………………………………..</t>
  </si>
  <si>
    <t>. . .</t>
  </si>
  <si>
    <t>Ex</t>
  </si>
  <si>
    <t>Ex</t>
  </si>
  <si>
    <t>. . .</t>
  </si>
  <si>
    <t xml:space="preserve"> - - isomères du xylène en mélange : </t>
  </si>
  <si>
    <t>29 02.44.00.00.0.1 E</t>
  </si>
  <si>
    <t xml:space="preserve"> - - - destinés à être utilisés comme carburant ou comme combustible (13)(26) (32)……………..</t>
  </si>
  <si>
    <t>. . .</t>
  </si>
  <si>
    <t>Ex</t>
  </si>
  <si>
    <t>Hl</t>
  </si>
  <si>
    <t>Ex</t>
  </si>
  <si>
    <t>. . .</t>
  </si>
  <si>
    <t>29 02.44.00.00.0.9 Q</t>
  </si>
  <si>
    <t xml:space="preserve"> - - - destinés à d'autres usages (32)………………………………………………………………………</t>
  </si>
  <si>
    <t>. . .</t>
  </si>
  <si>
    <t>Ex</t>
  </si>
  <si>
    <t>Ex</t>
  </si>
  <si>
    <t>Ex</t>
  </si>
  <si>
    <t>. . .</t>
  </si>
  <si>
    <t xml:space="preserve"> Préparations lubrifiantes (y compris les huiles de coupe, les préparations </t>
  </si>
  <si>
    <t xml:space="preserve">pour le dégrippage des écrous, les préparations antirouille ou anticorrosion </t>
  </si>
  <si>
    <t>et les préparations pour le démoulage, à base de lubrifiants) et préparations</t>
  </si>
  <si>
    <t xml:space="preserve">des types utilisés pour l'ensimage des matières textiles, l'huilage ou le graissage </t>
  </si>
  <si>
    <t xml:space="preserve">du cuir, des pelleries ou d'autres matières, à l'exclusion de celles contenant </t>
  </si>
  <si>
    <t xml:space="preserve">comme constituants de base 70 % ou davantage en poids d'huiles de pétrole </t>
  </si>
  <si>
    <t xml:space="preserve">ou de minéraux bitumeux : (1) </t>
  </si>
  <si>
    <t xml:space="preserve"> - contenant des huiles de pétrole ou de minéraux bitumineux</t>
  </si>
  <si>
    <t>34 03.11.00.00.0.0 H</t>
  </si>
  <si>
    <t xml:space="preserve"> - - Préparations pour le traitement des matières textiles, du cuir, des pelleteries ou d'autres</t>
  </si>
  <si>
    <t xml:space="preserve"> </t>
  </si>
  <si>
    <t xml:space="preserve"> matières(26)(30) ………………………………………………………………………………………………………...…</t>
  </si>
  <si>
    <t xml:space="preserve"> 100 Kg</t>
  </si>
  <si>
    <t>Ex</t>
  </si>
  <si>
    <t>. . .</t>
  </si>
  <si>
    <t xml:space="preserve"> - - autres : </t>
  </si>
  <si>
    <t xml:space="preserve"> - - - contenant en poids 70 % ou plus d'huiles de pétrole ou de minéraux bitumineux non</t>
  </si>
  <si>
    <t>A/B/D</t>
  </si>
  <si>
    <t xml:space="preserve">considérés comme constituants de base </t>
  </si>
  <si>
    <t>34 03.19.10.00.0.1 C</t>
  </si>
  <si>
    <t>- - - - - énumérées à l'annexe I du décret du 17 juin 1999 modifié pris pour l'application de la taxe générale sur les activités polluantes (26)(28)(28 bis) (28 quater)</t>
  </si>
  <si>
    <t xml:space="preserve"> . . .</t>
  </si>
  <si>
    <t xml:space="preserve"> . . .</t>
  </si>
  <si>
    <t>O2</t>
  </si>
  <si>
    <t xml:space="preserve"> Réelle</t>
  </si>
  <si>
    <t>Ex</t>
  </si>
  <si>
    <t>. . .</t>
  </si>
  <si>
    <t>TGAP</t>
  </si>
  <si>
    <t>34 03.19.10.00.0.9 M</t>
  </si>
  <si>
    <t>- - - - autres(26)……………………………………………………………………………………………………………………</t>
  </si>
  <si>
    <t xml:space="preserve"> . . .</t>
  </si>
  <si>
    <t xml:space="preserve"> . . .</t>
  </si>
  <si>
    <t>O2</t>
  </si>
  <si>
    <t xml:space="preserve"> Réelle</t>
  </si>
  <si>
    <t>Ex</t>
  </si>
  <si>
    <t>. . .</t>
  </si>
  <si>
    <t xml:space="preserve"> - - - autres : </t>
  </si>
  <si>
    <t>A/B/C</t>
  </si>
  <si>
    <t xml:space="preserve"> - - - -  Préparations pour la lubrification des machines, appareils et véhicules </t>
  </si>
  <si>
    <t>34 03.19.91.00.0.1 T</t>
  </si>
  <si>
    <t>- - - - - énumérées à l'annexe I du décret du 17 juin 1999 modifié pris pour l'application de la taxe générale sur les activités polluantes (26)(28)(28 bis) (28 ter)(30)</t>
  </si>
  <si>
    <t xml:space="preserve"> . . .</t>
  </si>
  <si>
    <t xml:space="preserve"> . . .</t>
  </si>
  <si>
    <t>O2</t>
  </si>
  <si>
    <t xml:space="preserve"> 100 Kg</t>
  </si>
  <si>
    <t>Ex</t>
  </si>
  <si>
    <t>. . .</t>
  </si>
  <si>
    <t>TGAP</t>
  </si>
  <si>
    <t>34 03.19.91.00.0.9 L</t>
  </si>
  <si>
    <t>- - - - - autres (26)(30)……………………………………………………………………………………</t>
  </si>
  <si>
    <t xml:space="preserve"> . . .</t>
  </si>
  <si>
    <t xml:space="preserve"> . . .</t>
  </si>
  <si>
    <t>O2</t>
  </si>
  <si>
    <t xml:space="preserve"> 100 Kg</t>
  </si>
  <si>
    <t>Ex</t>
  </si>
  <si>
    <t>. . .</t>
  </si>
  <si>
    <t>A/B/C</t>
  </si>
  <si>
    <t xml:space="preserve"> - - - -  autres </t>
  </si>
  <si>
    <t>34 03.19.99.00.0.1 P</t>
  </si>
  <si>
    <t>- - - - - énumérées à l'annexe I du décret du 17 juin 1999 modifié pris pour l'application de la taxe générale sur les activités polluantes (26)(28)(28 bis) (28 ter)(30)</t>
  </si>
  <si>
    <t xml:space="preserve"> . . .</t>
  </si>
  <si>
    <t xml:space="preserve"> . . .</t>
  </si>
  <si>
    <t>O2</t>
  </si>
  <si>
    <t xml:space="preserve"> 100 Kg</t>
  </si>
  <si>
    <t>Ex</t>
  </si>
  <si>
    <t>. . .</t>
  </si>
  <si>
    <t>TGAP</t>
  </si>
  <si>
    <t xml:space="preserve"> Préparations antidétonantes, inhibiteurs d'oxydation, additifs peptisants, améliorants de viscosité, additifs anticorrosifs et autres additifs préparés, pour huiles minérales (y compris l'essence) ou pour autres liquides utilisés aux mêmes fins que les huiles minérales : </t>
  </si>
  <si>
    <t>O2</t>
  </si>
  <si>
    <t xml:space="preserve"> - Préparations antidétonantes : </t>
  </si>
  <si>
    <t xml:space="preserve"> - - à base de composés du plomb</t>
  </si>
  <si>
    <t>38 11.11.10.00.0.0 M</t>
  </si>
  <si>
    <t xml:space="preserve"> - - - à base de plomb tétraéthyle (13)(26)………………………………………………………………………</t>
  </si>
  <si>
    <t>O2</t>
  </si>
  <si>
    <t xml:space="preserve"> Réelle</t>
  </si>
  <si>
    <t>Hl</t>
  </si>
  <si>
    <t>. . .</t>
  </si>
  <si>
    <t>38 11.11.90.00.0.0 X</t>
  </si>
  <si>
    <t>O2</t>
  </si>
  <si>
    <t xml:space="preserve"> Réelle</t>
  </si>
  <si>
    <t>Hl</t>
  </si>
  <si>
    <t>. . .</t>
  </si>
  <si>
    <t>38 11.19.00.00.0.0 A</t>
  </si>
  <si>
    <t>O2</t>
  </si>
  <si>
    <t xml:space="preserve"> Réelle</t>
  </si>
  <si>
    <t>Hl</t>
  </si>
  <si>
    <t>. . .</t>
  </si>
  <si>
    <t xml:space="preserve"> - Additifs pour huiles lubrifiantes  : </t>
  </si>
  <si>
    <t xml:space="preserve"> - - contenant des huiles de pétrole ou de minéraux bitumeux</t>
  </si>
  <si>
    <t xml:space="preserve"> - - - Sels d'acide dinonylnaphtalènesulfonique sous forme de solution dans des huiles</t>
  </si>
  <si>
    <t>38 11.21.00.10.0.1 P</t>
  </si>
  <si>
    <t>38 11.21.00.10.0.9 C</t>
  </si>
  <si>
    <t xml:space="preserve"> - - - Autres </t>
  </si>
  <si>
    <t>38 11.21.00.90.0.1 Q</t>
  </si>
  <si>
    <t>38 11.21.00.90.0.9 R</t>
  </si>
  <si>
    <t xml:space="preserve"> - autres</t>
  </si>
  <si>
    <t xml:space="preserve"> - - - destinés à être incorporés dans des huiles minérales utilisées autrement que comme</t>
  </si>
  <si>
    <t xml:space="preserve"> - - - destinés à être incorporés dans du fioul domestique ou toute autre huile minérale </t>
  </si>
  <si>
    <t xml:space="preserve"> - - - destinés à être incorporés dans du gazole ou toute autre huile minérale dont</t>
  </si>
  <si>
    <t xml:space="preserve">         le taux de taxe intérieure de consommation est celui du gazole(26)…………………………</t>
  </si>
  <si>
    <t xml:space="preserve"> - - - à base de potassium, améliorant les caractéristiques anti-récession de soupape (ARS)(26)</t>
  </si>
  <si>
    <t xml:space="preserve"> - - - à base d'un élément autre que le potassium, améliorant les caractéristiques </t>
  </si>
  <si>
    <t xml:space="preserve">        anti-récession de soupape (ARS) et reconnu de qualité équivalente aux additifs </t>
  </si>
  <si>
    <t xml:space="preserve">           au potassium dans un autre Etat membre de l'Union européenne ou dans un </t>
  </si>
  <si>
    <t xml:space="preserve">           autre Etat membre de l'espace économique européen (24)(26) …………………………….</t>
  </si>
  <si>
    <t xml:space="preserve">Alkylbenzènes en mélanges et alkylnaphtalènes en mélanges, autres que ceux </t>
  </si>
  <si>
    <t xml:space="preserve">des n° 2707 ou 2902 : </t>
  </si>
  <si>
    <t>38 17 00.50.00.0.0 Y</t>
  </si>
  <si>
    <t xml:space="preserve"> - Alkylbenzènes linéaire (13)(26)…………………………………………………………………………………..</t>
  </si>
  <si>
    <t>. . .</t>
  </si>
  <si>
    <t>Hl</t>
  </si>
  <si>
    <t>. . .</t>
  </si>
  <si>
    <t xml:space="preserve"> - Autres </t>
  </si>
  <si>
    <t>. . .</t>
  </si>
  <si>
    <t>Hl</t>
  </si>
  <si>
    <t>Ex</t>
  </si>
  <si>
    <t>. . .</t>
  </si>
  <si>
    <t>TGAP</t>
  </si>
  <si>
    <t>A/B/D</t>
  </si>
  <si>
    <t>. . .</t>
  </si>
  <si>
    <t>Hl</t>
  </si>
  <si>
    <t>. . .</t>
  </si>
  <si>
    <t xml:space="preserve"> - Autres</t>
  </si>
  <si>
    <t xml:space="preserve"> - - Emulsions d'eau dans du gazole stabilisée par des agents tensio-actifs, dont la teneur en eau est égale ou supérieure à 7% en volume sans dépasser 20 % en volume,  sous condition d'emploi (23) (30)……………………………………………………………………………….</t>
  </si>
  <si>
    <t>. . .</t>
  </si>
  <si>
    <t>Hl</t>
  </si>
  <si>
    <t>. . .</t>
  </si>
  <si>
    <t xml:space="preserve"> - - Emulsions d'eau dans du gazole stabilisée par des agents tensio-actifs, dont la teneur en eau est égale ou supérieure à 7% en volume sans dépasser 20 % en volume, autre,  destinée à être utilisée comme carburant (23) (30).……………………………………….……</t>
  </si>
  <si>
    <t>. . .</t>
  </si>
  <si>
    <t>Hl</t>
  </si>
  <si>
    <t>. . .</t>
  </si>
  <si>
    <t xml:space="preserve"> - - Emulsions d'eau dans du gazole stabilisée par des agents tensio-actifs, dont la teneur en eau est égale ou supérieure à 7% en volume sans dépasser 20 % en volume, autre, destinée à un usage autre que carburant ou combustible.(15) (23) (30)…………........…</t>
  </si>
  <si>
    <t xml:space="preserve"> . . .</t>
  </si>
  <si>
    <t xml:space="preserve"> C (18)</t>
  </si>
  <si>
    <t xml:space="preserve"> O2 (21)</t>
  </si>
  <si>
    <t>Ex</t>
  </si>
  <si>
    <t>. . .</t>
  </si>
  <si>
    <t xml:space="preserve">Designation des </t>
  </si>
  <si>
    <t>Nomenclature de</t>
  </si>
  <si>
    <t>Unité de</t>
  </si>
  <si>
    <t xml:space="preserve">     Taux de TVA</t>
  </si>
  <si>
    <t>produits</t>
  </si>
  <si>
    <t>dédouanement</t>
  </si>
  <si>
    <t>perception</t>
  </si>
  <si>
    <t>Métropole</t>
  </si>
  <si>
    <t>Corse</t>
  </si>
  <si>
    <t>Essence d'aviation autre</t>
  </si>
  <si>
    <t>27 10 11 31 00 0 9 F</t>
  </si>
  <si>
    <t>E/hl</t>
  </si>
  <si>
    <t>Carburéacteurs</t>
  </si>
  <si>
    <t>27 10 11 70 000 1 A</t>
  </si>
  <si>
    <t>E/hl</t>
  </si>
  <si>
    <t>27 10 19 21 000 1 M</t>
  </si>
  <si>
    <t xml:space="preserve">Super sans plomb d'une teneur en </t>
  </si>
  <si>
    <t>27 10 11 41 000 1 J</t>
  </si>
  <si>
    <t>plomb n'excédant pas 0,005 g par l</t>
  </si>
  <si>
    <t>27 10 11 45 000 5 V</t>
  </si>
  <si>
    <t>E/hL</t>
  </si>
  <si>
    <t>et dont l'indice d'octane est &lt; à 98</t>
  </si>
  <si>
    <t xml:space="preserve">Super sans plomb d'une teneur en </t>
  </si>
  <si>
    <t>27 10 11 49 000 5 M</t>
  </si>
  <si>
    <t>plomb n'excédant pas 0,005 g par l</t>
  </si>
  <si>
    <t>E/hL</t>
  </si>
  <si>
    <t>et dont l'indice d'octane est de 98 ou plus</t>
  </si>
  <si>
    <t xml:space="preserve">Super sans plomb d'une teneur en </t>
  </si>
  <si>
    <t>27 10 11 45 000 1 H</t>
  </si>
  <si>
    <t>plomb n'excédant pas 0,005 g par l</t>
  </si>
  <si>
    <t>27 10 11 45 000 3 E</t>
  </si>
  <si>
    <t>E/hL</t>
  </si>
  <si>
    <t xml:space="preserve">contenant un additif </t>
  </si>
  <si>
    <t>27 10 11 49 000 1 N</t>
  </si>
  <si>
    <t>27 10 11 49 000 3 D</t>
  </si>
  <si>
    <t>Gazole soufre &lt;0,05%</t>
  </si>
  <si>
    <t>27 10 19 41 000 5 N</t>
  </si>
  <si>
    <t>E/hl</t>
  </si>
  <si>
    <t>27 10 19 41 000 9 M</t>
  </si>
  <si>
    <t xml:space="preserve">Gazole soufre&gt;0,05% </t>
  </si>
  <si>
    <t>27 10 19 45 000 9 Q</t>
  </si>
  <si>
    <t>E/hl</t>
  </si>
  <si>
    <t>mais &lt; ou = à 0,2 %</t>
  </si>
  <si>
    <t xml:space="preserve">Gazole soufre&gt;0,2% </t>
  </si>
  <si>
    <t>27 10 19 49 000 9 A</t>
  </si>
  <si>
    <t>E/Hl</t>
  </si>
  <si>
    <t>Fioul oil</t>
  </si>
  <si>
    <t>27 10 19 61 000 1 P</t>
  </si>
  <si>
    <t>E/hl</t>
  </si>
  <si>
    <t>27 10 19 63 000 1 V</t>
  </si>
  <si>
    <t>27 10 19 65 000 1 B</t>
  </si>
  <si>
    <t>27 10 19 69 000 1 J</t>
  </si>
  <si>
    <t>Fioul lourd BTS</t>
  </si>
  <si>
    <t>27 10 19 61 000 5 R</t>
  </si>
  <si>
    <t>E/100 Kg</t>
  </si>
  <si>
    <t>27 10 19 63 000 5 T</t>
  </si>
  <si>
    <t>Fiouls lourds HTS</t>
  </si>
  <si>
    <t>27 10 19 65 000 5 X</t>
  </si>
  <si>
    <t>E/100 Kg</t>
  </si>
  <si>
    <t>27 10 19 69 000 5 W</t>
  </si>
  <si>
    <t>gaz de pétrole liquéfié</t>
  </si>
  <si>
    <t>propane destiné à être utilisé</t>
  </si>
  <si>
    <t>27 11.12.97.00.0.2 E</t>
  </si>
  <si>
    <t>E/100 Kg</t>
  </si>
  <si>
    <t>comme carburant</t>
  </si>
  <si>
    <t>gaz de pétrole liquéfié</t>
  </si>
  <si>
    <t>butane destiné à être utilisé</t>
  </si>
  <si>
    <t>27 11.13.97.00.0.2 T</t>
  </si>
  <si>
    <t>E/100 Kg</t>
  </si>
  <si>
    <t>comme carburant</t>
  </si>
  <si>
    <t>autres gaz de pétrole liquéfiés</t>
  </si>
  <si>
    <t xml:space="preserve"> destinés à être utilisé comme carburant</t>
  </si>
  <si>
    <t>27 11.19.00.00.0.2 H</t>
  </si>
  <si>
    <t>E/100 Kg</t>
  </si>
  <si>
    <t>27 10 19 81 000 1 Y</t>
  </si>
  <si>
    <t>27 10 19 81 000 9 P</t>
  </si>
  <si>
    <t>Lubrifiants et</t>
  </si>
  <si>
    <t>27 10 19 83 000 1 G</t>
  </si>
  <si>
    <t>préparations lubrifiantes</t>
  </si>
  <si>
    <t>27 10 19 83 000 9 V</t>
  </si>
  <si>
    <t>E/100 Kg</t>
  </si>
  <si>
    <t>27 10 19 85 000 0 T</t>
  </si>
  <si>
    <t>27 10 19 87 000 1 C</t>
  </si>
  <si>
    <t>27 10 19 87 000 9 M</t>
  </si>
  <si>
    <t>27 10 19 91 000 1 E</t>
  </si>
  <si>
    <t>27 10 19 91 000 9 Q</t>
  </si>
  <si>
    <t>27 10 19 93 000 1 S</t>
  </si>
  <si>
    <t>27 10 19 93 000 9 H</t>
  </si>
  <si>
    <t>27 10 19 99 000 1 T</t>
  </si>
  <si>
    <t>27 10 19 99 000 9 L</t>
  </si>
  <si>
    <t>Emulsions d'eau dans du</t>
  </si>
  <si>
    <t>38 24 90 99 90 0 2 E</t>
  </si>
  <si>
    <t>E/hl</t>
  </si>
  <si>
    <t>gazole, carburant</t>
  </si>
  <si>
    <t xml:space="preserve">Designation des </t>
  </si>
  <si>
    <t>Designatio</t>
  </si>
  <si>
    <t>Unité de</t>
  </si>
  <si>
    <t>Rémunération</t>
  </si>
  <si>
    <t xml:space="preserve">     Taux de TVA</t>
  </si>
  <si>
    <t>produits</t>
  </si>
  <si>
    <t>dédouanement</t>
  </si>
  <si>
    <t>perception</t>
  </si>
  <si>
    <t>CPSSP</t>
  </si>
  <si>
    <t>Métropole</t>
  </si>
  <si>
    <t>Corse</t>
  </si>
  <si>
    <t>Essence d'aviation autre</t>
  </si>
  <si>
    <t>27 10 11 31 00 0 9 F</t>
  </si>
  <si>
    <t>E/hl</t>
  </si>
  <si>
    <t xml:space="preserve">Super sans plomb d'une teneur en </t>
  </si>
  <si>
    <t>27 10 11 41 00 0 1 J</t>
  </si>
  <si>
    <t>plomb n'excédant pas 0,005 g par l</t>
  </si>
  <si>
    <t>27 10 11 45 00 0 5 V</t>
  </si>
  <si>
    <t>E/hl</t>
  </si>
  <si>
    <t>et dont l'indice d'octane est &lt; à 98</t>
  </si>
  <si>
    <t xml:space="preserve">Super sans plomb d'une teneur en </t>
  </si>
  <si>
    <t>plomb n'excédant pas 0,005 g par l</t>
  </si>
  <si>
    <t>27 10 11 49 00 0 5 M</t>
  </si>
  <si>
    <t>E/hl</t>
  </si>
  <si>
    <t>et dont l'indice d'octane est de 98 ou plus</t>
  </si>
  <si>
    <t xml:space="preserve">Super sans plomb d'une teneur en </t>
  </si>
  <si>
    <t>27 10 11 45 00 0 1 H</t>
  </si>
  <si>
    <t>plomb n'excédant pas 0,005 g par l</t>
  </si>
  <si>
    <t>27 10 11 45 00 0 3 E</t>
  </si>
  <si>
    <t>E/hl</t>
  </si>
  <si>
    <t xml:space="preserve">contenant un additif </t>
  </si>
  <si>
    <t>27 10 11 49 00 0 1 N</t>
  </si>
  <si>
    <t>27 10 11 49 00 0 3 D</t>
  </si>
  <si>
    <t>Carbureacteurs aéronefs</t>
  </si>
  <si>
    <t>27 10 11 70 00 0 1 A</t>
  </si>
  <si>
    <t>E/hl</t>
  </si>
  <si>
    <t>27 10 19 21 00 0 1 M</t>
  </si>
  <si>
    <t>Carburéacteurs sous condition</t>
  </si>
  <si>
    <t>27 10 11 70 00 0 2 P</t>
  </si>
  <si>
    <t>E/hl</t>
  </si>
  <si>
    <t>d'emploi</t>
  </si>
  <si>
    <t>27 10 19 21 00 0 2 T</t>
  </si>
  <si>
    <t>Carburéacteurs type essence autre</t>
  </si>
  <si>
    <t>27 10 11 70 00 0 9 X</t>
  </si>
  <si>
    <t>E/hl</t>
  </si>
  <si>
    <t>Carburéacteur type P.lampant autre</t>
  </si>
  <si>
    <t>27 10 19 21 00 0 9 S</t>
  </si>
  <si>
    <t>E/hl</t>
  </si>
  <si>
    <t>Pétrole lampant combustible</t>
  </si>
  <si>
    <t>27 10 19 25 00 0 1 Q</t>
  </si>
  <si>
    <t>E/hl</t>
  </si>
  <si>
    <t>27 10 19 25 00 0 2 K</t>
  </si>
  <si>
    <t>Pétrole lampant carburant</t>
  </si>
  <si>
    <t>27 10 19 25 00 0 3 Z</t>
  </si>
  <si>
    <t>E/hl</t>
  </si>
  <si>
    <t>FOD soufre &lt;0,05%</t>
  </si>
  <si>
    <t>27 10 19 41 00 0 1 C</t>
  </si>
  <si>
    <t>E/hl</t>
  </si>
  <si>
    <t>FOD soufre &gt;0,05%</t>
  </si>
  <si>
    <t xml:space="preserve"> 27 10 19 45 00 0 1 E</t>
  </si>
  <si>
    <t>E/hl</t>
  </si>
  <si>
    <t>Gazole soufre &lt;0,05%</t>
  </si>
  <si>
    <t>27 10 19 41 00 0 4 E</t>
  </si>
  <si>
    <t>E/hl</t>
  </si>
  <si>
    <t>27 10 19 41 00 0 9 M</t>
  </si>
  <si>
    <t>Gazole soufre&gt;0,05% mais &lt; ou = à 0,2 %</t>
  </si>
  <si>
    <t>27 10 19 45 00 0 9 Q</t>
  </si>
  <si>
    <t>E/hl</t>
  </si>
  <si>
    <t>Gazole soufre &gt;0,2%</t>
  </si>
  <si>
    <t>27 10 19 49 00 0 9 A</t>
  </si>
  <si>
    <t>E/hl</t>
  </si>
  <si>
    <t>Fiouls  lourds</t>
  </si>
  <si>
    <t>27 10 19 61 00 0 5 R</t>
  </si>
  <si>
    <t>E/Q</t>
  </si>
  <si>
    <t>27 10 19 61 00 0 5 Y</t>
  </si>
  <si>
    <t>27 10 19 61 90 05 E</t>
  </si>
  <si>
    <t>27 10 19 63 00 05 T</t>
  </si>
  <si>
    <t>27 10 19 63 10 05 G</t>
  </si>
  <si>
    <t>27 10 19 65 00 0 5 X</t>
  </si>
  <si>
    <t>E/Q</t>
  </si>
  <si>
    <t>27 10 19 69 00 0 5 W</t>
  </si>
  <si>
    <t>TEC</t>
  </si>
  <si>
    <t>VALEURS FORFAITAIRES euros</t>
  </si>
  <si>
    <t>TIPP euros</t>
  </si>
  <si>
    <t>Taxe CPSSP euros</t>
  </si>
  <si>
    <t>LIB</t>
  </si>
  <si>
    <t>LIB</t>
  </si>
  <si>
    <t>TEChuilelégère</t>
  </si>
  <si>
    <t>Essences spéciales</t>
  </si>
  <si>
    <t>Super sans plomb</t>
  </si>
  <si>
    <t>Essence-auto</t>
  </si>
  <si>
    <t>L</t>
  </si>
  <si>
    <t>Codification</t>
  </si>
  <si>
    <t xml:space="preserve">  Droits de</t>
  </si>
  <si>
    <t>Contrôle du com-</t>
  </si>
  <si>
    <t xml:space="preserve">Valeur </t>
  </si>
  <si>
    <t>Unité</t>
  </si>
  <si>
    <t xml:space="preserve">        Droits de</t>
  </si>
  <si>
    <t xml:space="preserve">      FISCALITE</t>
  </si>
  <si>
    <t>TEChuilemoyenne</t>
  </si>
  <si>
    <t>Super additivé ARS</t>
  </si>
  <si>
    <t>Essence aviation</t>
  </si>
  <si>
    <t>TGAP euros</t>
  </si>
  <si>
    <t>E/Q</t>
  </si>
  <si>
    <t>I</t>
  </si>
  <si>
    <t>Supercarburant</t>
  </si>
  <si>
    <t>I</t>
  </si>
  <si>
    <t>Nomenclature</t>
  </si>
  <si>
    <t>U.S.</t>
  </si>
  <si>
    <t xml:space="preserve">       douane</t>
  </si>
  <si>
    <t xml:space="preserve">  merce exterieur</t>
  </si>
  <si>
    <t>imposable</t>
  </si>
  <si>
    <t xml:space="preserve">de </t>
  </si>
  <si>
    <t xml:space="preserve">       douane</t>
  </si>
  <si>
    <t>Taxe</t>
  </si>
  <si>
    <t>Rému-</t>
  </si>
  <si>
    <t xml:space="preserve">   T.V.A. (12)</t>
  </si>
  <si>
    <t>TAX</t>
  </si>
  <si>
    <t>TAX</t>
  </si>
  <si>
    <t>TAX</t>
  </si>
  <si>
    <t>TEChuilelourde</t>
  </si>
  <si>
    <t>Super sans plomb (95)</t>
  </si>
  <si>
    <t>Super ARS</t>
  </si>
  <si>
    <t>Super sans plomb</t>
  </si>
  <si>
    <t>G</t>
  </si>
  <si>
    <t>NDP</t>
  </si>
  <si>
    <t>T.E.C.</t>
  </si>
  <si>
    <t>Impor-</t>
  </si>
  <si>
    <t>Export-</t>
  </si>
  <si>
    <t xml:space="preserve">à la TVA </t>
  </si>
  <si>
    <t>percep-</t>
  </si>
  <si>
    <t>T.E.C.</t>
  </si>
  <si>
    <t>intérieure</t>
  </si>
  <si>
    <t>TGAP</t>
  </si>
  <si>
    <t>nération</t>
  </si>
  <si>
    <t>Conti-</t>
  </si>
  <si>
    <t>Corse</t>
  </si>
  <si>
    <t>TIPP</t>
  </si>
  <si>
    <t>CPSSP</t>
  </si>
  <si>
    <t>TVA</t>
  </si>
  <si>
    <t>TEC2707</t>
  </si>
  <si>
    <t>Carburéacteur</t>
  </si>
  <si>
    <t>N</t>
  </si>
  <si>
    <t>(2)</t>
  </si>
  <si>
    <t>tation</t>
  </si>
  <si>
    <t>tation</t>
  </si>
  <si>
    <t xml:space="preserve">hors droits </t>
  </si>
  <si>
    <t>tion</t>
  </si>
  <si>
    <t>T.I.P.P.</t>
  </si>
  <si>
    <t>CPSSP</t>
  </si>
  <si>
    <t>nent</t>
  </si>
  <si>
    <t>TEClubrifiant</t>
  </si>
  <si>
    <t>Essence aviation</t>
  </si>
  <si>
    <t>Essence aviation</t>
  </si>
  <si>
    <t>E</t>
  </si>
  <si>
    <t>et taxes</t>
  </si>
  <si>
    <t>TECpropanebutane</t>
  </si>
  <si>
    <t>Pétrole lampant</t>
  </si>
  <si>
    <t>FOD/lampant-White comb.</t>
  </si>
  <si>
    <t>Gazole</t>
  </si>
  <si>
    <t>TEC27121090</t>
  </si>
  <si>
    <t>Gazole</t>
  </si>
  <si>
    <t>gazole / lampant</t>
  </si>
  <si>
    <t>II</t>
  </si>
  <si>
    <t>FOD</t>
  </si>
  <si>
    <t xml:space="preserve">Attention des droits de douane </t>
  </si>
  <si>
    <t>TEC27122090</t>
  </si>
  <si>
    <t>Fioul HTS</t>
  </si>
  <si>
    <t>fioul BTS</t>
  </si>
  <si>
    <t>Petrole lampant</t>
  </si>
  <si>
    <t xml:space="preserve">Goudrons de houille, de lignite ou de tourbe et autres goudrons minéraux même déshydratés ou ététés, y compris les goudrons reconstitués : </t>
  </si>
  <si>
    <t xml:space="preserve"> </t>
  </si>
  <si>
    <t xml:space="preserve">en valeur forfaitaire </t>
  </si>
  <si>
    <t>TEC27129039</t>
  </si>
  <si>
    <t>Fioul BTS</t>
  </si>
  <si>
    <t>III</t>
  </si>
  <si>
    <t>Carburéacteur</t>
  </si>
  <si>
    <t>. . .</t>
  </si>
  <si>
    <t xml:space="preserve">sont masqués (colonnes K et L) </t>
  </si>
  <si>
    <t>TEC27129099</t>
  </si>
  <si>
    <t>Butane</t>
  </si>
  <si>
    <t>Goudron houille</t>
  </si>
  <si>
    <t>IV</t>
  </si>
  <si>
    <t>Fioul lourd</t>
  </si>
  <si>
    <t>27 06.00.00.00.0.1 A</t>
  </si>
  <si>
    <t xml:space="preserve"> - Goudrons de houille, de lignite ou de tourbe et autres goudrons minéraux destinés à être utilisés comme combustible (30) (26)…………………………………………………………………………</t>
  </si>
  <si>
    <t>Ex</t>
  </si>
  <si>
    <t>. . .</t>
  </si>
  <si>
    <t>100 Kg</t>
  </si>
  <si>
    <t>Ex</t>
  </si>
  <si>
    <t xml:space="preserve">mais servent pour le calcul </t>
  </si>
  <si>
    <t>TEC3403</t>
  </si>
  <si>
    <t>Propane</t>
  </si>
  <si>
    <t>GPLC</t>
  </si>
  <si>
    <t>tx 21janvier 04</t>
  </si>
  <si>
    <t>27 06.00.00.00.0.9 X</t>
  </si>
  <si>
    <t xml:space="preserve"> - Autres  (13)………………………………………………………………………………………………………….</t>
  </si>
  <si>
    <t>Ex</t>
  </si>
  <si>
    <t>. . .</t>
  </si>
  <si>
    <t>Ex</t>
  </si>
  <si>
    <t>Ex</t>
  </si>
  <si>
    <t>de la TVA</t>
  </si>
  <si>
    <t>TEC381121</t>
  </si>
  <si>
    <t>Huiles et lub.</t>
  </si>
  <si>
    <t>GCC</t>
  </si>
  <si>
    <t>TEC381190</t>
  </si>
  <si>
    <t>White spirit</t>
  </si>
  <si>
    <t>TICGN</t>
  </si>
  <si>
    <t>TEC3817</t>
  </si>
  <si>
    <t>Fraction légère</t>
  </si>
  <si>
    <t>TICBSCE</t>
  </si>
  <si>
    <t>TEC27111310</t>
  </si>
  <si>
    <t>Vaseline, cires, paraffines BRUTES</t>
  </si>
  <si>
    <t>TIGPSCE</t>
  </si>
  <si>
    <t xml:space="preserve"> Huiles et autres produits provenant de la distillation des goudrons de  houille de haute température ; produits analogues dans lesquels les constituants aromatiques prédominent en poids par rapport aux constituants non aromatiques</t>
  </si>
  <si>
    <t>TEC27111330</t>
  </si>
  <si>
    <t>Vaseline, cires  AUTRES</t>
  </si>
  <si>
    <t>EEGsce</t>
  </si>
  <si>
    <t>TEC271114</t>
  </si>
  <si>
    <t>Paraffines NON BRUTES</t>
  </si>
  <si>
    <t>EEGcarb</t>
  </si>
  <si>
    <t>TEC38249095</t>
  </si>
  <si>
    <t>Additifs</t>
  </si>
  <si>
    <t>TEC34031100</t>
  </si>
  <si>
    <t>4.6%</t>
  </si>
  <si>
    <t>FOD</t>
  </si>
  <si>
    <t xml:space="preserve"> - Benzol (benzène) :</t>
  </si>
  <si>
    <t>27 07.10.10.00.0.0 W</t>
  </si>
  <si>
    <t xml:space="preserve"> - - destinés à être utilisés comme carburant ou comme combustible (13)(32)(26)………………………..</t>
  </si>
  <si>
    <t>Hl</t>
  </si>
  <si>
    <t>TVO</t>
  </si>
  <si>
    <t>27 07.10.90.00.0.0 S</t>
  </si>
  <si>
    <t xml:space="preserve"> - - destinés à d'autres usages (32)……………………………………………………………………………….</t>
  </si>
  <si>
    <t>Ex</t>
  </si>
  <si>
    <t>Ex</t>
  </si>
  <si>
    <t>Ex</t>
  </si>
  <si>
    <t>TVO</t>
  </si>
  <si>
    <t xml:space="preserve"> - Toluol (toluène) :</t>
  </si>
  <si>
    <t>27 07.20.10.00.0.0 S</t>
  </si>
  <si>
    <t xml:space="preserve"> - - destinés à être utilisés comme carburant ou comme combustible (13) (32)(26)………………………..</t>
  </si>
  <si>
    <t>Hl</t>
  </si>
  <si>
    <t>27 07.20.90.00.0.0 Y</t>
  </si>
  <si>
    <t xml:space="preserve"> - - destinés à d'autres usages (32) ………………………………………………………………………………</t>
  </si>
  <si>
    <t>Ex</t>
  </si>
  <si>
    <t>Ex</t>
  </si>
  <si>
    <t>Ex</t>
  </si>
  <si>
    <t xml:space="preserve"> - Xylol (xylènes) :</t>
  </si>
  <si>
    <t>27 07.30.10.00.0.0 Y</t>
  </si>
  <si>
    <t xml:space="preserve"> - - destinés à être utilisés comme carburant ou comme combustible (13) (32)(26)………………………..</t>
  </si>
  <si>
    <t>Hl</t>
  </si>
  <si>
    <t>27 07.30.90.00.0.0 J</t>
  </si>
  <si>
    <t xml:space="preserve"> - - destinés à d'autres usages (32)………………………………………………………………………………</t>
  </si>
  <si>
    <t>Ex</t>
  </si>
  <si>
    <t>Ex</t>
  </si>
  <si>
    <t>Ex</t>
  </si>
  <si>
    <t xml:space="preserve"> - Autres mélanges d'hydrocarbures aromatiques distillant 65 % ou plus de leur volume  (y compris les pertes) à 250 ° C d'après la méthode ASTM D 86 : </t>
  </si>
  <si>
    <t xml:space="preserve"> - - destinés à être utilisés comme carburant ou comme combustible :</t>
  </si>
  <si>
    <t>27 07.50.10.00.0.1 Z</t>
  </si>
  <si>
    <t xml:space="preserve"> - - - présentant les caractéristiques d'une huile légère  (13)(30)(32)(26)………………………………………….</t>
  </si>
  <si>
    <t>Hl</t>
  </si>
  <si>
    <t>27 07.50.10.00.0.9 J</t>
  </si>
  <si>
    <t xml:space="preserve"> - - - présentant les caractéristiques d'une huile moyenne (13)(30)(32)(26)………………………………………..</t>
  </si>
  <si>
    <t>Hl</t>
  </si>
  <si>
    <t>27 07.50.90.00.0.0 E</t>
  </si>
  <si>
    <t xml:space="preserve"> - - destinés à d'autres usages (32) ………………………………………………………………………………</t>
  </si>
  <si>
    <t>Ex</t>
  </si>
  <si>
    <t>Ex</t>
  </si>
  <si>
    <t>Ex</t>
  </si>
  <si>
    <r>
      <rPr>
        <b/>
        <i/>
        <sz val="7"/>
        <rFont val="Antique Olive (W1)"/>
        <family val="0"/>
      </rPr>
      <t xml:space="preserve"> -  </t>
    </r>
    <r>
      <rPr>
        <i/>
        <sz val="7"/>
        <rFont val="Antique Olive (W1)"/>
        <family val="0"/>
      </rPr>
      <t>Autres</t>
    </r>
  </si>
  <si>
    <t xml:space="preserve"> - - Huiles de créosote</t>
  </si>
  <si>
    <t>27 07.91.00.00.0.1 F</t>
  </si>
  <si>
    <t xml:space="preserve"> - - - destinées à être utilisées comme combustible(26) …………………………………………………</t>
  </si>
  <si>
    <t>Hl</t>
  </si>
  <si>
    <t>. . .</t>
  </si>
  <si>
    <t>. . .</t>
  </si>
  <si>
    <t>27 07.91.00.00.0.9 B</t>
  </si>
  <si>
    <t xml:space="preserve"> - - - autres (13)……………………………………………………………………………………………………….</t>
  </si>
  <si>
    <t>. . .</t>
  </si>
  <si>
    <t>Ex</t>
  </si>
  <si>
    <t>. . .</t>
  </si>
  <si>
    <t>. . .</t>
  </si>
  <si>
    <t xml:space="preserve"> - - Autres</t>
  </si>
  <si>
    <t xml:space="preserve"> - - - Huiles brutes</t>
  </si>
  <si>
    <t xml:space="preserve"> - - - - Huiles légères brutes distillant  90 % ou plus de leur volume jusqu'à 200 °C   </t>
  </si>
  <si>
    <t xml:space="preserve"> - - - - - Huiles légères brutes contenant en poids 10 % ou plus de vinyltoluènes, 10 %   </t>
  </si>
  <si>
    <t xml:space="preserve">           ou plus d'indène et 1 % ou plus mais pas plus de 5 % de naphtalène</t>
  </si>
  <si>
    <t>27 07.99.11.10.0.1 A</t>
  </si>
  <si>
    <t xml:space="preserve">                * destinées à être utilisées comme combustible (26)……………………………………….</t>
  </si>
  <si>
    <t>. . .</t>
  </si>
  <si>
    <t>Hl</t>
  </si>
  <si>
    <t>. . .</t>
  </si>
  <si>
    <t>. . .</t>
  </si>
  <si>
    <t>27 07.99.11.10.0.9 X</t>
  </si>
  <si>
    <t xml:space="preserve">                * autres (13)……………………………………………………………………………………………...</t>
  </si>
  <si>
    <t>. . .</t>
  </si>
  <si>
    <t>Ex</t>
  </si>
  <si>
    <t>. . .</t>
  </si>
  <si>
    <t>. . .</t>
  </si>
  <si>
    <t xml:space="preserve"> - - - - - Autres  </t>
  </si>
  <si>
    <t>27 07.99.11.90.0.1 F</t>
  </si>
  <si>
    <t xml:space="preserve">                * destinées à être utilisées comme combustible(26) ………………………………………</t>
  </si>
  <si>
    <t>. . .</t>
  </si>
  <si>
    <t>Hl</t>
  </si>
  <si>
    <t>. . .</t>
  </si>
  <si>
    <t>. . .</t>
  </si>
  <si>
    <t>27 07.99.11.90.0.9 B</t>
  </si>
  <si>
    <t xml:space="preserve">                * autres  (13) ……………………………………………………………………………………………...</t>
  </si>
  <si>
    <t>. . .</t>
  </si>
  <si>
    <t>Ex</t>
  </si>
  <si>
    <t>. . .</t>
  </si>
  <si>
    <t>. . .</t>
  </si>
  <si>
    <t xml:space="preserve"> - - - - Autres</t>
  </si>
  <si>
    <t>27 07.99.19.00.0.1 T</t>
  </si>
  <si>
    <t xml:space="preserve"> - - - - - destinées à être utilisées comme combustible (26)……………………………………………..</t>
  </si>
  <si>
    <t>. . .</t>
  </si>
  <si>
    <t>Ex</t>
  </si>
  <si>
    <t>Hl</t>
  </si>
  <si>
    <t>Ex</t>
  </si>
  <si>
    <t>. . .</t>
  </si>
  <si>
    <t>. . .</t>
  </si>
  <si>
    <t>27 07.99.19.00.0.9 L</t>
  </si>
  <si>
    <t xml:space="preserve"> - - - - - autres (13)…………………………………………………………………………………………………….</t>
  </si>
  <si>
    <t>. . .</t>
  </si>
  <si>
    <t>Ex</t>
  </si>
  <si>
    <t>Ex</t>
  </si>
  <si>
    <t>Ex</t>
  </si>
  <si>
    <t>. . .</t>
  </si>
  <si>
    <t>. . .</t>
  </si>
  <si>
    <t xml:space="preserve">    </t>
  </si>
  <si>
    <t xml:space="preserve"> Huiles brutes de pétrole ou de minéraux bitumineux :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</si>
  <si>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</si>
  <si>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</si>
  <si>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</si>
  <si>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</si>
  <si>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</si>
  <si>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</si>
  <si>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</si>
  <si>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</si>
  <si>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</si>
  <si>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</si>
  <si>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 Condensats de gaz naturel</t>
  </si>
  <si>
    <t>27 09.00.10.00.0.1 S</t>
  </si>
  <si>
    <t xml:space="preserve"> - - présentant les caractéristiques d'une huile légère (13) (26)(29)(30)………………………………………..</t>
  </si>
  <si>
    <t>Ex</t>
  </si>
  <si>
    <t>C (18)</t>
  </si>
  <si>
    <t>O2 (21)</t>
  </si>
  <si>
    <t>Hl</t>
  </si>
  <si>
    <t>Ex</t>
  </si>
  <si>
    <t>27 09.00.10.00.0.2 L</t>
  </si>
  <si>
    <t xml:space="preserve"> - - présentant les caractéristiques d'une huile moyenne (13)(26) (29)(30)……………………………………</t>
  </si>
  <si>
    <t>Ex</t>
  </si>
  <si>
    <t>C (18)</t>
  </si>
  <si>
    <t>O2 (21)</t>
  </si>
  <si>
    <t>Hl</t>
  </si>
  <si>
    <t>Ex</t>
  </si>
  <si>
    <t>27 09.00.10.00.0.9 H</t>
  </si>
  <si>
    <t xml:space="preserve"> - - présentant les caractéristiques d'une huile lourde (13)(26) (29)(30)………………………………………….</t>
  </si>
  <si>
    <t>Ex</t>
  </si>
  <si>
    <t>C (18)</t>
  </si>
  <si>
    <t>O2 (21)</t>
  </si>
  <si>
    <t>100 Kg</t>
  </si>
  <si>
    <t>Ex</t>
  </si>
  <si>
    <t xml:space="preserve"> - autres</t>
  </si>
  <si>
    <t>27 09.00.90.00.0.1 Y</t>
  </si>
  <si>
    <t xml:space="preserve"> - - présentant les caractéristiques d'une huile légère (13)(26) (29)(30)……………………………………………..</t>
  </si>
  <si>
    <t>Ex</t>
  </si>
  <si>
    <t>C (18)</t>
  </si>
  <si>
    <t>O2 (21)</t>
  </si>
  <si>
    <t>Hl</t>
  </si>
  <si>
    <t>Ex</t>
  </si>
  <si>
    <t>27 09.00.90.00.0.2 M</t>
  </si>
  <si>
    <t xml:space="preserve"> - - présentant les caractéristiques d'une huile moyenne (13) (26)(29)(30)………………………………..………..</t>
  </si>
  <si>
    <t>Ex</t>
  </si>
  <si>
    <t>C (18)</t>
  </si>
  <si>
    <t>O2 (21)</t>
  </si>
  <si>
    <t>Hl</t>
  </si>
  <si>
    <t>Ex</t>
  </si>
  <si>
    <t>27 09.00.90.00.0.9 P</t>
  </si>
  <si>
    <t xml:space="preserve"> - - présentant les caractéristiques d'une huile lourde (13) (26)(29)(30)……………………………………………..</t>
  </si>
  <si>
    <t>Ex</t>
  </si>
  <si>
    <t>C (18)</t>
  </si>
  <si>
    <t>O2 (21)</t>
  </si>
  <si>
    <t>100 Kg</t>
  </si>
  <si>
    <t>Ex</t>
  </si>
  <si>
    <t xml:space="preserve"> Huiles de pétrole ou de minéraux bitumineux, autres que les huiles brutes ; préparations non dénommées ni comprises ailleurs, contenant en poids 70 % ou plus d'huiles de pétrole ou de minéraux bitumineux et dont ces huiles constituent l'élément de base ; déchets d'huiles : </t>
  </si>
  <si>
    <t xml:space="preserve">    </t>
  </si>
  <si>
    <t xml:space="preserve"> - - Huiles légères et préparations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</si>
  <si>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</si>
  <si>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</si>
  <si>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</si>
  <si>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</si>
  <si>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</si>
  <si>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</si>
  <si>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</si>
  <si>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</si>
  <si>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</si>
  <si>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</si>
  <si>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27 10.11.11.00.0.0 T</t>
  </si>
  <si>
    <t xml:space="preserve"> - - - destinées à subir un traitement défini (3)(30) (32)…………………………………………………………</t>
  </si>
  <si>
    <t>Litre</t>
  </si>
  <si>
    <t>Ex</t>
  </si>
  <si>
    <t>C (18)</t>
  </si>
  <si>
    <t xml:space="preserve"> . . .</t>
  </si>
  <si>
    <t>Hl</t>
  </si>
  <si>
    <t>Ex</t>
  </si>
  <si>
    <t>27 10.11.15.00.0.0 K</t>
  </si>
  <si>
    <t xml:space="preserve"> - - - destinées à subir une transformation chimique par un traitement autre</t>
  </si>
  <si>
    <t xml:space="preserve"> </t>
  </si>
  <si>
    <t xml:space="preserve">     que ceux définis pour la sous position 27 10 11 11 (3) (30) (32)…………………………………………</t>
  </si>
  <si>
    <t>Litre</t>
  </si>
  <si>
    <t>Ex</t>
  </si>
  <si>
    <t>C (18)</t>
  </si>
  <si>
    <t xml:space="preserve"> . . .</t>
  </si>
  <si>
    <t>Hl</t>
  </si>
  <si>
    <t>Ex</t>
  </si>
  <si>
    <t xml:space="preserve"> - - - destinées à d'autres usages :</t>
  </si>
  <si>
    <t xml:space="preserve"> - - - -  Essences spéciales :</t>
  </si>
  <si>
    <t xml:space="preserve"> - - - - -  White-spirit destiné à être utilisé comme combustible </t>
  </si>
  <si>
    <t>27 10.11.21.00.0.1 D</t>
  </si>
  <si>
    <t xml:space="preserve">          * Combustible liquide pour appareil mobile de chauffage (17) (22)(30) (31)…………………….</t>
  </si>
  <si>
    <t>Litre</t>
  </si>
  <si>
    <t>C (18)</t>
  </si>
  <si>
    <t xml:space="preserve"> O2 (21)</t>
  </si>
  <si>
    <t>Hl</t>
  </si>
  <si>
    <t>27 10.11.21.00.0.2 Y</t>
  </si>
  <si>
    <t xml:space="preserve">          * Autre (17)(26)(30) (31)……………………………………………………………………………………………….</t>
  </si>
  <si>
    <t>Litre</t>
  </si>
  <si>
    <t>C (18)</t>
  </si>
  <si>
    <t xml:space="preserve"> O2 (21)</t>
  </si>
  <si>
    <t>Hl</t>
  </si>
  <si>
    <t>27 10.11.21.00.0.9 A</t>
  </si>
  <si>
    <t xml:space="preserve"> - - - - -  White-spirit, autre (13) (15)(30)(31)………………………………………………………………………………..</t>
  </si>
  <si>
    <t>Litre</t>
  </si>
  <si>
    <t>C (18)</t>
  </si>
  <si>
    <t xml:space="preserve"> O2 (21)</t>
  </si>
  <si>
    <t>Hl</t>
  </si>
  <si>
    <t>Ex</t>
  </si>
  <si>
    <t xml:space="preserve"> - - - - -  Autres :</t>
  </si>
  <si>
    <t>27 10.11.25.00.0.1 T</t>
  </si>
  <si>
    <t xml:space="preserve">          * destinées à être utilisées comme  carburant ou combustible (11)(26)(30)(31)……………………..</t>
  </si>
  <si>
    <t>Litre</t>
  </si>
  <si>
    <t xml:space="preserve"> C (18)</t>
  </si>
  <si>
    <t xml:space="preserve"> O2 (21)</t>
  </si>
  <si>
    <t>Hl</t>
  </si>
  <si>
    <t>27 10.11.25.00.0.9 L</t>
  </si>
  <si>
    <t xml:space="preserve">          * destinées à d'autres usages (15 ) (30) (31)…………………………………………………………………</t>
  </si>
  <si>
    <t>Litre</t>
  </si>
  <si>
    <t xml:space="preserve"> C (18)</t>
  </si>
  <si>
    <t xml:space="preserve"> O2 (21)</t>
  </si>
  <si>
    <t>Hl</t>
  </si>
  <si>
    <t>Ex</t>
  </si>
  <si>
    <t xml:space="preserve">  - - - -  Autres :</t>
  </si>
  <si>
    <t xml:space="preserve"> - - - - -  Essences pour moteur :</t>
  </si>
  <si>
    <t>27 10.11.31.00.0.0H</t>
  </si>
  <si>
    <t xml:space="preserve">          * Essences d'aviation  (11)(26) (30) (32)……………………………………………………………………………</t>
  </si>
  <si>
    <t>Litre</t>
  </si>
  <si>
    <t xml:space="preserve"> . . .</t>
  </si>
  <si>
    <t xml:space="preserve"> O2 (21)</t>
  </si>
  <si>
    <t>Hl</t>
  </si>
  <si>
    <t xml:space="preserve">          * Autres, d'une teneur en plomb :</t>
  </si>
  <si>
    <t xml:space="preserve">               * *  n'excédant pas 0,013 g par l :</t>
  </si>
  <si>
    <t xml:space="preserve">                    * * * avec un indice d'octane (IOR) &lt; 95</t>
  </si>
  <si>
    <t>27 10.11.41.00.0.1 J</t>
  </si>
  <si>
    <t xml:space="preserve">                         * * * * d'une teneur en plomb n'excédant pas 0,005 g par l (26)(30) (32)…………</t>
  </si>
  <si>
    <t>1000 L</t>
  </si>
  <si>
    <t xml:space="preserve"> C (18)</t>
  </si>
  <si>
    <t xml:space="preserve"> O2 (21)</t>
  </si>
  <si>
    <t>Hl</t>
  </si>
  <si>
    <t>(a)</t>
  </si>
  <si>
    <t>27 10.11.41.00.0.9 D</t>
  </si>
  <si>
    <t xml:space="preserve">                         * * * * autres (6)(26)(30) (32)…………………………………………………………………..</t>
  </si>
  <si>
    <t>1000 L</t>
  </si>
  <si>
    <t xml:space="preserve"> C (18)</t>
  </si>
  <si>
    <t xml:space="preserve"> O2 (21)</t>
  </si>
  <si>
    <t>Hl</t>
  </si>
  <si>
    <t xml:space="preserve"> (a) En Corse, les taux de TIPP sont réduits pour les supercarburants sans plomb   à :</t>
  </si>
  <si>
    <t xml:space="preserve">E/HL  et pour les supercarburants contenant un additif ARS à  </t>
  </si>
  <si>
    <t xml:space="preserve">F/HL pour les supercarburants contenant un additif ARS </t>
  </si>
  <si>
    <t>E/Hl</t>
  </si>
  <si>
    <t xml:space="preserve">                    * * * avec un indice d'octane (IOR) de 95 ou plus mais &lt; 98</t>
  </si>
  <si>
    <t>27 10.11.45.00.0.1 H</t>
  </si>
  <si>
    <t xml:space="preserve"> C (18)</t>
  </si>
  <si>
    <t xml:space="preserve"> O2 (21)</t>
  </si>
  <si>
    <t>Hl</t>
  </si>
  <si>
    <t>(a)</t>
  </si>
  <si>
    <t>27 10.11.45.00.0.3 E</t>
  </si>
  <si>
    <t xml:space="preserve">                          * * * * d'un indice d'octane supérieur ou égal à 97, contenant tout autre additif  reconnu de qualité équivalente aux additifs ARS au potassium dans un autre Etat membre de l'Union   européenne ou dans un autre Etat membre de l'espace économique européen  et d'une teneur en plomb n'excédant pas 0,005 g par litre (24)(26)(30)(32)</t>
  </si>
  <si>
    <t>1000 L</t>
  </si>
  <si>
    <t xml:space="preserve"> C (18)</t>
  </si>
  <si>
    <t xml:space="preserve"> O2 (21)</t>
  </si>
  <si>
    <t>Hl</t>
  </si>
  <si>
    <t>(a)</t>
  </si>
  <si>
    <t>27 10.11.45.00.0.5 V</t>
  </si>
  <si>
    <t xml:space="preserve">                         * * * * autre, d'une teneur en plomb n'excédant pas 0,005,g par l (26)(30)(32)</t>
  </si>
  <si>
    <t>1000 L</t>
  </si>
  <si>
    <t xml:space="preserve"> C (18)</t>
  </si>
  <si>
    <t xml:space="preserve"> O2 (21)</t>
  </si>
  <si>
    <t>Hl</t>
  </si>
  <si>
    <t>(a)</t>
  </si>
  <si>
    <t>27 10.11.45.00.0.9 T</t>
  </si>
  <si>
    <t xml:space="preserve">                         * * * * autre, autre (6)(26)(30)(32)</t>
  </si>
  <si>
    <t>1000 L</t>
  </si>
  <si>
    <t xml:space="preserve"> C (18)</t>
  </si>
  <si>
    <t xml:space="preserve"> O2 (21)</t>
  </si>
  <si>
    <t>Hl</t>
  </si>
  <si>
    <t xml:space="preserve">                    * * * avec un indice d'octane (IOR) de 98 ou plus </t>
  </si>
  <si>
    <t>27 10.11.49.00.0.1 N</t>
  </si>
  <si>
    <t xml:space="preserve">                         * * * * contenant un additif à base de potassium améliorant les caractéristiques anti-récession de soupape (ARS) et d'une teneur en plomb n'excédant pas 0,005 g par litre (26)(30)(32)</t>
  </si>
  <si>
    <t>1000 L</t>
  </si>
  <si>
    <t xml:space="preserve"> C (18)</t>
  </si>
  <si>
    <t xml:space="preserve"> O2 (21)</t>
  </si>
  <si>
    <t>Hl</t>
  </si>
  <si>
    <t>(a)</t>
  </si>
  <si>
    <t>27 10.11.49.00.0.3 D</t>
  </si>
  <si>
    <t xml:space="preserve">                         * * * * contenant  tout autre additif reconnu de qualité  équivalente aux additifs ARS au potassium dans un autre Etat membre de  l'Union  européenne ou dans un  autre Etat membre de l'espace économique européen et d'une teneur en plomb n'excédant pas 0,005 g par litre (24)(26)(30)(32)</t>
  </si>
  <si>
    <t>1000 L</t>
  </si>
  <si>
    <t xml:space="preserve"> C (18)</t>
  </si>
  <si>
    <t xml:space="preserve"> O2 (21)</t>
  </si>
  <si>
    <t>Hl</t>
  </si>
  <si>
    <t>(a)</t>
  </si>
  <si>
    <t>27 10.11.49.00.0.5 M</t>
  </si>
  <si>
    <t xml:space="preserve">                         * * * * autre, d'une teneur en plomb n'excédant pas 0,005,g par l (26)(30)(32)</t>
  </si>
  <si>
    <t>1000 L</t>
  </si>
  <si>
    <t xml:space="preserve"> C (18)</t>
  </si>
  <si>
    <t xml:space="preserve"> O2 (21)</t>
  </si>
  <si>
    <t>Hl</t>
  </si>
  <si>
    <t>(a)</t>
  </si>
  <si>
    <t>27 10.11.49.00.0.9 K</t>
  </si>
  <si>
    <t xml:space="preserve">                         * * * * autre, autre (6)(26)(30)(32)</t>
  </si>
  <si>
    <t>1000 L</t>
  </si>
  <si>
    <t xml:space="preserve"> C (18)</t>
  </si>
  <si>
    <t xml:space="preserve"> O2 (21)</t>
  </si>
  <si>
    <t>Hl</t>
  </si>
  <si>
    <t xml:space="preserve">               * *  excedant 0,013 g par l :</t>
  </si>
  <si>
    <t>27 10.11.51.00.0.0 S</t>
  </si>
  <si>
    <t xml:space="preserve">                    * * *  avec un indice d'octane (IOR) &lt; 98 (6)(26)(30)(32)…………………………………………….</t>
  </si>
  <si>
    <t>1000 L</t>
  </si>
  <si>
    <t xml:space="preserve"> C (18)</t>
  </si>
  <si>
    <t xml:space="preserve"> O2 (21)</t>
  </si>
  <si>
    <t>Hl</t>
  </si>
  <si>
    <t>27 10.11.59.00.0.0 X</t>
  </si>
  <si>
    <t xml:space="preserve">                    * * *  avec un indice d'octane (IOR) de 98 ou plus (6)(26)(30)(32)...............................................................…</t>
  </si>
  <si>
    <t>1000 L</t>
  </si>
  <si>
    <t xml:space="preserve"> C (18)</t>
  </si>
  <si>
    <t xml:space="preserve"> O2 (21)</t>
  </si>
  <si>
    <t>Hl</t>
  </si>
  <si>
    <t xml:space="preserve"> - - - - - Carburéacteurs, type essence  :</t>
  </si>
  <si>
    <t>27 10.11.70.00.0.1 A</t>
  </si>
  <si>
    <t xml:space="preserve">          * Destinés à être utilisés à bord des aéronefs ainsi que pour la construction, la</t>
  </si>
  <si>
    <t xml:space="preserve"> </t>
  </si>
  <si>
    <t xml:space="preserve">              mise au point , les essais ou l'entretien des moteurs d'aviation</t>
  </si>
  <si>
    <t xml:space="preserve">              à réaction ou à turbine (7) (11)(30)(32)...............................................................................................</t>
  </si>
  <si>
    <t>Litre</t>
  </si>
  <si>
    <t xml:space="preserve"> C (18)</t>
  </si>
  <si>
    <t xml:space="preserve"> O2 (21)</t>
  </si>
  <si>
    <t>Hl</t>
  </si>
  <si>
    <t>Ex</t>
  </si>
  <si>
    <t>27 10.11.70.00.0.2 P</t>
  </si>
  <si>
    <t xml:space="preserve">          * Sous conditions d'emploi (8)(30)(32)...........................................................................................................</t>
  </si>
  <si>
    <t>Litre</t>
  </si>
  <si>
    <t xml:space="preserve"> C (18)</t>
  </si>
  <si>
    <t xml:space="preserve"> O2 (21)</t>
  </si>
  <si>
    <t>Hl</t>
  </si>
  <si>
    <t>27 10.11.70.00.0.3 S</t>
  </si>
  <si>
    <t xml:space="preserve">          * destinés à un usage autre que carburant ou combustible (15)(30)(32)……………………</t>
  </si>
  <si>
    <t>Litre</t>
  </si>
  <si>
    <t xml:space="preserve"> C (18)</t>
  </si>
  <si>
    <t xml:space="preserve"> O2 (21)</t>
  </si>
  <si>
    <t>Hl</t>
  </si>
  <si>
    <t>Ex</t>
  </si>
  <si>
    <t>27 10.11.70.00.0.9 X</t>
  </si>
  <si>
    <t xml:space="preserve">          * Autres  (11)(26)(30)(32).............................................................................................................................................</t>
  </si>
  <si>
    <t>Litre</t>
  </si>
  <si>
    <t xml:space="preserve"> C (18)</t>
  </si>
  <si>
    <t xml:space="preserve"> O2 (21)</t>
  </si>
  <si>
    <t>Hl</t>
  </si>
  <si>
    <t xml:space="preserve"> (a) En Corse, les taux de TIPP sont réduits pour les supercarburants sans plomb   à :</t>
  </si>
  <si>
    <t xml:space="preserve">E/HL  et pour les supercarburants contenant un additif ARS à :   </t>
  </si>
  <si>
    <t xml:space="preserve">F/HL pour les supercarburants contenant un additif ARS </t>
  </si>
  <si>
    <t>E/Hl</t>
  </si>
  <si>
    <t xml:space="preserve"> </t>
  </si>
  <si>
    <t>F/HL  pour les essences,</t>
  </si>
  <si>
    <t xml:space="preserve"> - - - - - Autres huiles légères :</t>
  </si>
  <si>
    <t>27 10.11.90.00.0.1 D</t>
  </si>
  <si>
    <t xml:space="preserve">          * destinées à être utilisées comme carburant ou combustible  (13)(26)(30)(32).............................</t>
  </si>
  <si>
    <t>Litre</t>
  </si>
  <si>
    <t xml:space="preserve"> C (18)</t>
  </si>
  <si>
    <t xml:space="preserve"> O2 (21)</t>
  </si>
  <si>
    <t>Hl</t>
  </si>
  <si>
    <t>27 10.11.90.00.0.9 A</t>
  </si>
  <si>
    <t xml:space="preserve">          *  Autres (15)(30)(32)...........................................................................................................................................</t>
  </si>
  <si>
    <t>Litre</t>
  </si>
  <si>
    <t xml:space="preserve"> C (18)</t>
  </si>
  <si>
    <t xml:space="preserve"> O2 (21)</t>
  </si>
  <si>
    <t>Hl</t>
  </si>
  <si>
    <t>Ex</t>
  </si>
  <si>
    <t>- - Autres</t>
  </si>
  <si>
    <t>27 10.19.11.00.0.0 Q</t>
  </si>
  <si>
    <t>Litre</t>
  </si>
  <si>
    <t>Ex</t>
  </si>
  <si>
    <t xml:space="preserve"> C (18)</t>
  </si>
  <si>
    <t xml:space="preserve"> . . .</t>
  </si>
  <si>
    <t>Hl</t>
  </si>
  <si>
    <t>Ex</t>
  </si>
  <si>
    <t>27 10.19.15.00.0.0 A</t>
  </si>
  <si>
    <t xml:space="preserve">      que ceux définis pour la sous-position 27 10 19 11 (3)(30) (32).....................................................................................…</t>
  </si>
  <si>
    <t>Litre</t>
  </si>
  <si>
    <t>Ex</t>
  </si>
  <si>
    <t xml:space="preserve"> C (18)</t>
  </si>
  <si>
    <t xml:space="preserve"> . . .</t>
  </si>
  <si>
    <t>Hl</t>
  </si>
  <si>
    <t>Ex</t>
  </si>
  <si>
    <t xml:space="preserve"> - - - - destinées à d'autres usages :</t>
  </si>
  <si>
    <t xml:space="preserve"> - - - - -  Pétrole lampant :</t>
  </si>
  <si>
    <t xml:space="preserve">          * Carburéacteurs , type pétrole lampant :</t>
  </si>
  <si>
    <t>27 10.19.21.00.0.1 M</t>
  </si>
  <si>
    <t xml:space="preserve">               * * Destinés à être utilisés à bord des aéronefs ainsi que pour la construction, la</t>
  </si>
  <si>
    <t xml:space="preserve">           mise au point , les essais ou l'entretien des moteurs d'aviation à réaction</t>
  </si>
  <si>
    <t xml:space="preserve">            ou à turbine (7) (11) (30)(32).............................................................................................</t>
  </si>
  <si>
    <t>Litre</t>
  </si>
  <si>
    <t xml:space="preserve"> C (18)</t>
  </si>
  <si>
    <t xml:space="preserve"> O2 (21)</t>
  </si>
  <si>
    <t>Hl</t>
  </si>
  <si>
    <t>Ex</t>
  </si>
  <si>
    <t>27 10.19.21.00.0.2 T</t>
  </si>
  <si>
    <t xml:space="preserve">               * * Sous conditions d'emploi  (8)(30)(32)......................................................................................................</t>
  </si>
  <si>
    <t>Litre</t>
  </si>
  <si>
    <t xml:space="preserve"> C (18)</t>
  </si>
  <si>
    <t xml:space="preserve"> O2 (21)</t>
  </si>
  <si>
    <t>Hl</t>
  </si>
  <si>
    <t>27 10.19.21.00.0.3 F</t>
  </si>
  <si>
    <t xml:space="preserve">               * * destinés à un usage autre que carburant ou combustible (15)(30)(32)…………………………………………………………</t>
  </si>
  <si>
    <t>Litre</t>
  </si>
  <si>
    <t xml:space="preserve"> C (18)</t>
  </si>
  <si>
    <t xml:space="preserve"> O2 (21)</t>
  </si>
  <si>
    <t>Hl</t>
  </si>
  <si>
    <t>Ex</t>
  </si>
  <si>
    <t>27 10.19.21.00.0.9 S</t>
  </si>
  <si>
    <t xml:space="preserve">               * * Autres  (11)(26)(30)(32).........................................................................................................................................…</t>
  </si>
  <si>
    <t>Litre</t>
  </si>
  <si>
    <t xml:space="preserve"> C (18)</t>
  </si>
  <si>
    <t xml:space="preserve"> O2 (21)</t>
  </si>
  <si>
    <t>Hl</t>
  </si>
  <si>
    <t xml:space="preserve">          * Autre pétrole lampant  :</t>
  </si>
  <si>
    <t xml:space="preserve">               * * Destiné à être utilisé comme combustible</t>
  </si>
  <si>
    <t>27 10.19.25.00.0.1 Q</t>
  </si>
  <si>
    <t xml:space="preserve">                    * * * Combustible liquide pour appareil mobile de chauffage (17) (22)(30)(32)…………..............</t>
  </si>
  <si>
    <t>Litre</t>
  </si>
  <si>
    <t xml:space="preserve"> O2 (21)</t>
  </si>
  <si>
    <t>Hl</t>
  </si>
  <si>
    <t>27 10.19.25.00.0.2 K</t>
  </si>
  <si>
    <t xml:space="preserve">                    * * * Autre (17(26))(30)(32).........................................................................................................................</t>
  </si>
  <si>
    <t>Litre</t>
  </si>
  <si>
    <t xml:space="preserve"> O2 (21)</t>
  </si>
  <si>
    <t>Hl</t>
  </si>
  <si>
    <t>27 10.19.25.00.0.3 Z</t>
  </si>
  <si>
    <t xml:space="preserve">               * * Destiné à être utilisé comme carburant  (11)(30)(32).............................................................................</t>
  </si>
  <si>
    <t>Litre</t>
  </si>
  <si>
    <t xml:space="preserve"> O2 (21)</t>
  </si>
  <si>
    <t>Hl</t>
  </si>
  <si>
    <t>27 10.19.25.00.0.9 R</t>
  </si>
  <si>
    <t xml:space="preserve">           * Autres  (15)(30)(32).......................................................................................................................................</t>
  </si>
  <si>
    <t>Litre</t>
  </si>
  <si>
    <t xml:space="preserve"> O2 (21)</t>
  </si>
  <si>
    <t>Hl</t>
  </si>
  <si>
    <t>Ex</t>
  </si>
  <si>
    <t xml:space="preserve"> - - - - -  Autres huiles moyennes  :</t>
  </si>
  <si>
    <t>27 10.19.29.00.0.1 A</t>
  </si>
  <si>
    <t xml:space="preserve">          * Destinées à être utilisées comme carburant ou combustible  (13)(26)(30)(31).............................…</t>
  </si>
  <si>
    <t>Litre</t>
  </si>
  <si>
    <t xml:space="preserve"> O2 (21)</t>
  </si>
  <si>
    <t>Hl</t>
  </si>
  <si>
    <t>27 10.19.29.00.0.9 X</t>
  </si>
  <si>
    <t xml:space="preserve">          * Autres   (15)(30)(31)   ......................................................................................................        </t>
  </si>
  <si>
    <t>Litre</t>
  </si>
  <si>
    <t xml:space="preserve"> O2 (21)</t>
  </si>
  <si>
    <t>Hl</t>
  </si>
  <si>
    <t>Ex</t>
  </si>
  <si>
    <t xml:space="preserve"> - - -  Huiles lourdes :</t>
  </si>
  <si>
    <t xml:space="preserve"> - - - - gazole :</t>
  </si>
  <si>
    <t>27 10.19.31.00.0.0 E</t>
  </si>
  <si>
    <t xml:space="preserve"> - - - - - destiné à subir un traitement défini (3)(30)(32).........................................................................................…</t>
  </si>
  <si>
    <t>Litre</t>
  </si>
  <si>
    <t>Ex</t>
  </si>
  <si>
    <t xml:space="preserve"> C (18)</t>
  </si>
  <si>
    <t xml:space="preserve"> . . .</t>
  </si>
  <si>
    <t>Hl</t>
  </si>
  <si>
    <t>Ex</t>
  </si>
  <si>
    <t>27 10.19.35.00.0.0 D</t>
  </si>
  <si>
    <t xml:space="preserve"> - - - - - destiné à subir une transformation chimique par un traitement autre que</t>
  </si>
  <si>
    <t xml:space="preserve">          ceux définis pour la sous position 27 10 19 31 (3)(30)(32)..................................................................</t>
  </si>
  <si>
    <t>Litre</t>
  </si>
  <si>
    <t>Ex</t>
  </si>
  <si>
    <t xml:space="preserve"> C (18)</t>
  </si>
  <si>
    <t xml:space="preserve"> . . .</t>
  </si>
  <si>
    <t>Hl</t>
  </si>
  <si>
    <t>Ex</t>
  </si>
  <si>
    <t xml:space="preserve"> - - - - - destiné à d'autres usages :</t>
  </si>
  <si>
    <t xml:space="preserve">           * D'une teneur en poids de soufre n'excédant pas 0,05% :</t>
  </si>
  <si>
    <t>27 10.19.41.00.0.1 C</t>
  </si>
  <si>
    <t xml:space="preserve">               * * Fioul domestique (11) (14) (26)(30) (32)................................................................…</t>
  </si>
  <si>
    <t>Litre</t>
  </si>
  <si>
    <t>Ex</t>
  </si>
  <si>
    <t xml:space="preserve"> C (18)</t>
  </si>
  <si>
    <t xml:space="preserve"> . . .</t>
  </si>
  <si>
    <t>Hl</t>
  </si>
  <si>
    <t>Ex</t>
  </si>
  <si>
    <t>27 10.19.41.00.0.2 H</t>
  </si>
  <si>
    <t xml:space="preserve">               * * Gazole destiné à un usage autre que carburant ou combustible, d'une teneur </t>
  </si>
  <si>
    <t xml:space="preserve">                     en poids de soufre n'excédant pas 0,005% (15)(30)(32)………………………………..……………….</t>
  </si>
  <si>
    <t>Litre</t>
  </si>
  <si>
    <t>Ex</t>
  </si>
  <si>
    <t xml:space="preserve"> C (18)</t>
  </si>
  <si>
    <t xml:space="preserve"> O2 (21)</t>
  </si>
  <si>
    <t>Hl</t>
  </si>
  <si>
    <t>Ex</t>
  </si>
  <si>
    <t>Ex</t>
  </si>
  <si>
    <t>27 10.19.41.00.0.3 W</t>
  </si>
  <si>
    <t xml:space="preserve">               * * Gazole destiné à un usage autre que carburant ou combustible,autre(15)(30)(32)</t>
  </si>
  <si>
    <t>Litre</t>
  </si>
  <si>
    <t>Ex</t>
  </si>
  <si>
    <t xml:space="preserve"> C (18)</t>
  </si>
  <si>
    <t xml:space="preserve"> O2 (21)</t>
  </si>
  <si>
    <t>Hl</t>
  </si>
  <si>
    <t>Ex</t>
  </si>
  <si>
    <t>Ex</t>
  </si>
  <si>
    <t>27 10.19.41.00.0.4 E</t>
  </si>
  <si>
    <t xml:space="preserve">               * * Autre, d'une teneur en poids de soufre n'excédant pas 0,005% (11)(26)(30)(32)………………………………………………………………………………………………………</t>
  </si>
  <si>
    <t>Litre</t>
  </si>
  <si>
    <t>Ex</t>
  </si>
  <si>
    <t xml:space="preserve"> C (18)</t>
  </si>
  <si>
    <t xml:space="preserve"> O2 (21)</t>
  </si>
  <si>
    <t>Hl</t>
  </si>
  <si>
    <t>Ex</t>
  </si>
  <si>
    <t xml:space="preserve">27 10.19.41.00.0.9 M </t>
  </si>
  <si>
    <t xml:space="preserve">               * * Autre, autres (11)(26)(30)(32)..................………………………………………………………</t>
  </si>
  <si>
    <t>Litre</t>
  </si>
  <si>
    <t>Ex</t>
  </si>
  <si>
    <t xml:space="preserve"> C (18)</t>
  </si>
  <si>
    <t xml:space="preserve"> O2 (21)</t>
  </si>
  <si>
    <t>Hl</t>
  </si>
  <si>
    <t>Ex</t>
  </si>
  <si>
    <t xml:space="preserve">          * D'une teneur en poids de soufre &gt; à  0,05% mais &lt; ou = à 0,2% :</t>
  </si>
  <si>
    <t>27 10.19.45.00.0.1 E</t>
  </si>
  <si>
    <t xml:space="preserve">               * * Fioul domestique (11) (14)(26) (30) (32)......................................................…</t>
  </si>
  <si>
    <t>Litre</t>
  </si>
  <si>
    <t>Ex</t>
  </si>
  <si>
    <t xml:space="preserve"> C (18)</t>
  </si>
  <si>
    <t xml:space="preserve"> . . .</t>
  </si>
  <si>
    <t>Hl</t>
  </si>
  <si>
    <t>Ex</t>
  </si>
  <si>
    <t>27 10.19.45.00.0.2 N</t>
  </si>
  <si>
    <t xml:space="preserve">               * * Gazole destiné à un usage autre que carburant ou combustible  (15)(30)(32)……………..</t>
  </si>
  <si>
    <t>Litre</t>
  </si>
  <si>
    <t>Ex</t>
  </si>
  <si>
    <t xml:space="preserve"> C (18)</t>
  </si>
  <si>
    <t xml:space="preserve"> O2 (21)</t>
  </si>
  <si>
    <t>Hl</t>
  </si>
  <si>
    <t>Ex</t>
  </si>
  <si>
    <t>Ex</t>
  </si>
  <si>
    <t>27 10.19.45.00.0.9 Q</t>
  </si>
  <si>
    <t xml:space="preserve">               * * Autre (5)(11) (21)(26)(30)(32)............................................................................................................................</t>
  </si>
  <si>
    <t>Litre</t>
  </si>
  <si>
    <t>Ex</t>
  </si>
  <si>
    <t xml:space="preserve"> C (18)</t>
  </si>
  <si>
    <t xml:space="preserve"> O2 (21)</t>
  </si>
  <si>
    <t>Hl</t>
  </si>
  <si>
    <t>Ex</t>
  </si>
  <si>
    <t xml:space="preserve">           * D'une teneur en poids de soufre excédant 0,2% :</t>
  </si>
  <si>
    <t>27 10.19.49.00.0.1 D</t>
  </si>
  <si>
    <t xml:space="preserve">               * * Gazole destiné à un usage autre que carburant ou combustible  (15)(30)(32)……………..</t>
  </si>
  <si>
    <t>Litre</t>
  </si>
  <si>
    <t xml:space="preserve"> C (18)</t>
  </si>
  <si>
    <t xml:space="preserve"> O2 (21)</t>
  </si>
  <si>
    <t>Hl</t>
  </si>
  <si>
    <t>Ex</t>
  </si>
  <si>
    <t>27 10.19.49.00.0.9 A</t>
  </si>
  <si>
    <t xml:space="preserve">               * * Autre (5 bis) (11) (21)(26)(30).(32)...........................................................................................................................</t>
  </si>
  <si>
    <t>Litre</t>
  </si>
  <si>
    <t xml:space="preserve"> C (18)</t>
  </si>
  <si>
    <t xml:space="preserve"> O2 (21)</t>
  </si>
  <si>
    <t>Hl</t>
  </si>
  <si>
    <t xml:space="preserve"> - - - -    Fuels-oils :</t>
  </si>
  <si>
    <t>27 10.19.51.00.0.0 B</t>
  </si>
  <si>
    <t xml:space="preserve"> - - - - - destinés à subir un traitement défini (3) (30)(32)..............................................................................................</t>
  </si>
  <si>
    <t>Ex</t>
  </si>
  <si>
    <t xml:space="preserve"> C (18)</t>
  </si>
  <si>
    <t xml:space="preserve"> . . .</t>
  </si>
  <si>
    <t>100 Kg</t>
  </si>
  <si>
    <t>Ex</t>
  </si>
  <si>
    <t>27 10.19.55.00.0.0 J</t>
  </si>
  <si>
    <t xml:space="preserve"> - - - - - destinés à subir une transformation chimique par un traitement autre que</t>
  </si>
  <si>
    <t xml:space="preserve">        ceux définis pour la sous position 27 10 19 51 (3)(30) (32)...............................................................................................</t>
  </si>
  <si>
    <t>Ex</t>
  </si>
  <si>
    <t xml:space="preserve"> C (18)</t>
  </si>
  <si>
    <t xml:space="preserve"> . . .</t>
  </si>
  <si>
    <t>100 Kg</t>
  </si>
  <si>
    <t>Ex</t>
  </si>
  <si>
    <t xml:space="preserve"> - - - - - destinés à d'autres usages :</t>
  </si>
  <si>
    <t xml:space="preserve">          * D'une teneur en poids de soufre &lt; ou = 1% :</t>
  </si>
  <si>
    <t xml:space="preserve">                ** destinés à être utilisés dans la fabrication de combustibles pour la navigation maritime</t>
  </si>
  <si>
    <t>27 10.19.61.10.0.1 E</t>
  </si>
  <si>
    <t xml:space="preserve">                        * * * destinés à être utilisés comme carburant (30)(32)....................................</t>
  </si>
  <si>
    <t xml:space="preserve"> C (18)</t>
  </si>
  <si>
    <t xml:space="preserve"> O2 (21)</t>
  </si>
  <si>
    <t>Hl</t>
  </si>
  <si>
    <t>. . .</t>
  </si>
  <si>
    <t>27 10.19.61.10.0.3 V</t>
  </si>
  <si>
    <t xml:space="preserve">                        * * * destinés à être utilisés comme combustible pour la production </t>
  </si>
  <si>
    <t xml:space="preserve">                             d'alumine (10)(30)(32)………………………………….........…</t>
  </si>
  <si>
    <t xml:space="preserve"> C (18)</t>
  </si>
  <si>
    <t xml:space="preserve"> O2 (21)</t>
  </si>
  <si>
    <t>100 Kg</t>
  </si>
  <si>
    <t>Ex</t>
  </si>
  <si>
    <t>27 10.19.61.10.0.5 Y</t>
  </si>
  <si>
    <t xml:space="preserve">                       * * * destinés à être utilisés comme combustible, autres (26)(30)(32)................………......................</t>
  </si>
  <si>
    <t>. . .</t>
  </si>
  <si>
    <t>100 Kg</t>
  </si>
  <si>
    <t>27 10.19.61.10.0.9 Q</t>
  </si>
  <si>
    <t xml:space="preserve">                       * * *  destinés à un autre usage que carburant ou combustible (15).(30)(32)...………………......</t>
  </si>
  <si>
    <t xml:space="preserve"> C (18)</t>
  </si>
  <si>
    <t xml:space="preserve"> O2 (21)</t>
  </si>
  <si>
    <t>100 Kg</t>
  </si>
  <si>
    <t>Ex</t>
  </si>
  <si>
    <t>. . .</t>
  </si>
  <si>
    <t xml:space="preserve">               ** autres</t>
  </si>
  <si>
    <t>27 10.19.61.90.0.1 X</t>
  </si>
  <si>
    <t xml:space="preserve">                        * * * destinés à être utilisés comme carburant (30)(32)....................................</t>
  </si>
  <si>
    <t>Hl</t>
  </si>
  <si>
    <t>. . .</t>
  </si>
  <si>
    <t>27 10.19.61.90.0.3 H</t>
  </si>
  <si>
    <t xml:space="preserve">                        * * * destinés à être utilisés comme combustible pour la production </t>
  </si>
  <si>
    <t xml:space="preserve">                             d'alumine (10)(30)(32)………………………………….........…</t>
  </si>
  <si>
    <t>100 Kg</t>
  </si>
  <si>
    <t>Ex</t>
  </si>
  <si>
    <t>27 10.19.61.90.0.5 E</t>
  </si>
  <si>
    <t>100 Kg</t>
  </si>
  <si>
    <t>27 10.19.61.90.0.9 Y</t>
  </si>
  <si>
    <t>100 Kg</t>
  </si>
  <si>
    <t>Ex</t>
  </si>
  <si>
    <t>. . .</t>
  </si>
  <si>
    <t xml:space="preserve">          * D'une teneur en poids de soufre &gt; 1% mais &lt; ou = 2% :</t>
  </si>
  <si>
    <t>27 10.19.63.10.0.1 S</t>
  </si>
  <si>
    <t xml:space="preserve">                    * *  destiné à être utilisé comme carburant  (27)(30)(32)…................................</t>
  </si>
  <si>
    <t xml:space="preserve"> C (18)</t>
  </si>
  <si>
    <t xml:space="preserve"> O2 (21)</t>
  </si>
  <si>
    <t>Hl</t>
  </si>
  <si>
    <t>. . .</t>
  </si>
  <si>
    <t>27 10.19.63.10.0.3 B</t>
  </si>
  <si>
    <t xml:space="preserve">                    * *   destinés à être utilisés comme combustible pour la production </t>
  </si>
  <si>
    <t xml:space="preserve">                          d'alumine (10)(27)(30)(32)…………………………………….</t>
  </si>
  <si>
    <t xml:space="preserve"> C (18)</t>
  </si>
  <si>
    <t xml:space="preserve"> O2 (21)</t>
  </si>
  <si>
    <t>100 Kg</t>
  </si>
  <si>
    <t>Ex</t>
  </si>
  <si>
    <t>27 10.19.63.10.0.5 G</t>
  </si>
  <si>
    <t xml:space="preserve">                    * *  destinés à être utilisés comme combustibles, autres (26)(27)(30)(32)...................................…</t>
  </si>
  <si>
    <t>. . .</t>
  </si>
  <si>
    <t>100 Kg</t>
  </si>
  <si>
    <t>27 10.19.63.10.0.9H</t>
  </si>
  <si>
    <t xml:space="preserve">                    * *  destinés à un usage autre que carburant ou combustible  (15)(30)(32)...................................................................................................................</t>
  </si>
  <si>
    <t xml:space="preserve"> C (18)</t>
  </si>
  <si>
    <t xml:space="preserve"> O2 (21)</t>
  </si>
  <si>
    <t>100 Kg</t>
  </si>
  <si>
    <t>Ex</t>
  </si>
  <si>
    <t>. . .</t>
  </si>
  <si>
    <t xml:space="preserve">               ** autres</t>
  </si>
  <si>
    <t>27 10.19.63.90.0.1 K</t>
  </si>
  <si>
    <t xml:space="preserve">                    * *  destiné à être utilisé comme carburant  (27)(30)(32)…................................</t>
  </si>
  <si>
    <t xml:space="preserve"> C (18)</t>
  </si>
  <si>
    <t xml:space="preserve"> O2 (21)</t>
  </si>
  <si>
    <t>Hl</t>
  </si>
  <si>
    <t>. . .</t>
  </si>
  <si>
    <t xml:space="preserve"> - - - Additifs pour huiles lubrifiantes à base de composés organiquescomplexe de molybdène, sous forme de solution dans de l'huile minérale</t>
  </si>
  <si>
    <t>38 11.21.00.20.0.1 E</t>
  </si>
  <si>
    <t>38 11.21.00.20.0.9 Q</t>
  </si>
  <si>
    <t xml:space="preserve">- - - - autres (26)(30) </t>
  </si>
  <si>
    <t xml:space="preserve"> - - - autres (13)(26) </t>
  </si>
  <si>
    <t xml:space="preserve"> - - autres (13(26) </t>
  </si>
  <si>
    <t xml:space="preserve">          minérales</t>
  </si>
  <si>
    <t xml:space="preserve"> - - - destinés à être incorporés dans les fiouls lourds (26) </t>
  </si>
  <si>
    <t xml:space="preserve">          carburant , combustible ou lubrifiant </t>
  </si>
  <si>
    <t xml:space="preserve">         dont le taux de taxe intérieure de consommation est celui du fioul domestique(26) </t>
  </si>
  <si>
    <t xml:space="preserve"> - - - destinés à être incorporés dans les supercarburants(26) </t>
  </si>
  <si>
    <t>38 11.29.00.00.0.0 V</t>
  </si>
  <si>
    <t xml:space="preserve">- - autres (26)(30) </t>
  </si>
  <si>
    <t>38 11.90.00.10.0.0 A</t>
  </si>
  <si>
    <t xml:space="preserve">- - sel d'acide dinonylnaphtalenesulfonique sous forme de solution  dans de l'eau minerale destine à etre utilise comme additif pour les distillats et les huiles lubrifiantes </t>
  </si>
  <si>
    <t>27 10.19.63.90.0.3 A</t>
  </si>
  <si>
    <t xml:space="preserve">                    * *   destinés à être utilisés comme combustible pour la production </t>
  </si>
  <si>
    <t xml:space="preserve">                          d'alumine (10)(27)(30)(32)…………………………………….</t>
  </si>
  <si>
    <t xml:space="preserve"> C (18)</t>
  </si>
  <si>
    <t xml:space="preserve"> O2 (21)</t>
  </si>
  <si>
    <t>100 Kg</t>
  </si>
  <si>
    <t>Ex</t>
  </si>
  <si>
    <t>27 10.19.63.90.0.5 S</t>
  </si>
  <si>
    <t xml:space="preserve">                    * *  destinés à être utilisés comme combustibles, autres (26)(27)(30)(32)..</t>
  </si>
  <si>
    <t>. . .</t>
  </si>
  <si>
    <t>100 Kg</t>
  </si>
  <si>
    <t>27 10.19.63.90.0.9G</t>
  </si>
  <si>
    <t xml:space="preserve">                    * *  destinés à un usage autre que carburant ou combustible  (15)(30)(32)..</t>
  </si>
  <si>
    <t xml:space="preserve"> C (18)</t>
  </si>
  <si>
    <t xml:space="preserve"> O2 (21)</t>
  </si>
  <si>
    <t>100 Kg</t>
  </si>
  <si>
    <t>Ex</t>
  </si>
  <si>
    <t>. . .</t>
  </si>
  <si>
    <t xml:space="preserve">          * D'une teneur en poids de soufre &gt;2% mais &lt; ou = 2,8% :</t>
  </si>
  <si>
    <t>27 10.19.65.00.0.1 B</t>
  </si>
  <si>
    <t xml:space="preserve">                    * *  destiné à être utilisé comme carburant  (27)(30)(32)…..................................</t>
  </si>
  <si>
    <t xml:space="preserve"> C (18)</t>
  </si>
  <si>
    <t xml:space="preserve"> O2 (21)</t>
  </si>
  <si>
    <t>Hl</t>
  </si>
  <si>
    <t>. . .</t>
  </si>
  <si>
    <t>27 10.19.65.00.0.5 X</t>
  </si>
  <si>
    <t xml:space="preserve">                    * *  destinés à être utilisés comme combustible, autre (26)(27)(30) (32)….............................................................</t>
  </si>
  <si>
    <t>. . .</t>
  </si>
  <si>
    <t>100 Kg</t>
  </si>
  <si>
    <t>27 10.19.65.00.0.9 E</t>
  </si>
  <si>
    <t xml:space="preserve">                    * *  destinés à un usage autre que carburant ou combustible (15) (30)(32)..…</t>
  </si>
  <si>
    <t xml:space="preserve"> C (18)</t>
  </si>
  <si>
    <t xml:space="preserve"> O2 (21)</t>
  </si>
  <si>
    <t>100 Kg</t>
  </si>
  <si>
    <t>Ex</t>
  </si>
  <si>
    <t>. . .</t>
  </si>
  <si>
    <t xml:space="preserve">          * D'une teneur en poids de soufre &gt; 2,8% :</t>
  </si>
  <si>
    <t>27 10.19.69.00.0.1 J</t>
  </si>
  <si>
    <t xml:space="preserve">                    * *  destiné à être utilisé comme carburant (27)(30)(32)…......................</t>
  </si>
  <si>
    <t xml:space="preserve"> C (18)</t>
  </si>
  <si>
    <t xml:space="preserve"> O2 (21)</t>
  </si>
  <si>
    <t>Hl</t>
  </si>
  <si>
    <t>. . .</t>
  </si>
  <si>
    <t>27 10.19.69.00.0.5 W</t>
  </si>
  <si>
    <t xml:space="preserve">                    * *  destinés à être utilisés comme combustible, autre (26)(27)(30)(32)..................................................…</t>
  </si>
  <si>
    <t>. . .</t>
  </si>
  <si>
    <t>100 Kg</t>
  </si>
  <si>
    <t>27 10.19.69.00.0.9 D</t>
  </si>
  <si>
    <t xml:space="preserve">                    * *   destinés à un usage autre que carburant ou combustible  (15) (30)(32)...............................................................................................................................</t>
  </si>
  <si>
    <t xml:space="preserve"> C (18)</t>
  </si>
  <si>
    <t xml:space="preserve"> O2 (21)</t>
  </si>
  <si>
    <t>100 Kg</t>
  </si>
  <si>
    <t>Ex</t>
  </si>
  <si>
    <t>. . .</t>
  </si>
  <si>
    <t xml:space="preserve"> - - - - Huiles lubrifiantes et autres :</t>
  </si>
  <si>
    <t>27 10.19.71.00.0.0 F</t>
  </si>
  <si>
    <t xml:space="preserve"> - - - - - destinées à subir un traitement défini (3) (30)...............................................................</t>
  </si>
  <si>
    <t>Ex</t>
  </si>
  <si>
    <t>100 Kg</t>
  </si>
  <si>
    <t>Ex</t>
  </si>
  <si>
    <t>27 10.19.75.00.0.0 Z</t>
  </si>
  <si>
    <t xml:space="preserve"> - - - - - destinées à subir une transformation chimique par un traitement autre que ceux</t>
  </si>
  <si>
    <t xml:space="preserve"> </t>
  </si>
  <si>
    <t xml:space="preserve">        définis pour la sous position 27 10 19 71 (3) (30)..................................................................................................</t>
  </si>
  <si>
    <t>Ex</t>
  </si>
  <si>
    <t>100 Kg</t>
  </si>
  <si>
    <t>Ex</t>
  </si>
  <si>
    <t xml:space="preserve"> - - - - - destinées à d'autres usages :</t>
  </si>
  <si>
    <t xml:space="preserve"> </t>
  </si>
  <si>
    <t>A/B/C</t>
  </si>
  <si>
    <t xml:space="preserve">           * Huiles pour moteurs, compresseurs et turbines</t>
  </si>
  <si>
    <t>27 10.19.81.00.0.1 Y</t>
  </si>
  <si>
    <t xml:space="preserve">               * * énumérées à l'annexe I du décret du 17 juin 1999 modifié pris pour l'application de la taxe générale sur les activités polluantes (26)(28) (28 bis) (28 ter)(30)</t>
  </si>
  <si>
    <t>100 Kg</t>
  </si>
  <si>
    <t>Ex</t>
  </si>
  <si>
    <t>TGAP</t>
  </si>
  <si>
    <t>27 10.19.81.00.0.9 P</t>
  </si>
  <si>
    <t xml:space="preserve">               * * autres (26)(30)…………………………………………………………………………………………………….</t>
  </si>
  <si>
    <t>100 Kg</t>
  </si>
  <si>
    <t>Ex</t>
  </si>
  <si>
    <t>A/B/C</t>
  </si>
  <si>
    <t xml:space="preserve">           * Liquides pour transmission hydrauliques</t>
  </si>
  <si>
    <t>g</t>
  </si>
  <si>
    <t>27 10.19.83.00.0.1 G</t>
  </si>
  <si>
    <t xml:space="preserve">               * * énumérées à l'annexe I du décret du 17 juin 1999 modifié pris pour l'application de la taxe générale sur les activités polluantes(26) (28) (28 bis) (28 ter)(30)</t>
  </si>
  <si>
    <t>100 Kg</t>
  </si>
  <si>
    <t>Ex</t>
  </si>
  <si>
    <t>TGAP</t>
  </si>
  <si>
    <t>27 10.19.83.00.0.9 V</t>
  </si>
  <si>
    <t xml:space="preserve">               * * autres  (26)(30)…………………………………………………………………………………………………….</t>
  </si>
  <si>
    <t>100 Kg</t>
  </si>
  <si>
    <t>Ex</t>
  </si>
  <si>
    <t>27 10.19.85.00.0.0 T</t>
  </si>
  <si>
    <t xml:space="preserve">           * Huiles blanches, paraffine liquide………………………………………………………………………..</t>
  </si>
  <si>
    <t>100 Kg</t>
  </si>
  <si>
    <t>Ex</t>
  </si>
  <si>
    <t>A/B/C</t>
  </si>
  <si>
    <t xml:space="preserve">           * Huiles pour engrenages</t>
  </si>
  <si>
    <t>27 10.19.87.00.0.1 C</t>
  </si>
  <si>
    <t xml:space="preserve">               * * énumérées à l'annexe I du décret du 17 juin 1999 modifié pris pour l'application de la taxe générale sur les activités polluantes (26)(28) (28 bis) (28 ter)(30)</t>
  </si>
  <si>
    <t>100 Kg</t>
  </si>
  <si>
    <t>Ex</t>
  </si>
  <si>
    <t>TGAP</t>
  </si>
  <si>
    <t>27 10.19.87.00.0.9 M</t>
  </si>
  <si>
    <t xml:space="preserve">               * * autres (26)(30)…………………………………………………………………………………………………….</t>
  </si>
  <si>
    <t>100 Kg</t>
  </si>
  <si>
    <t>Ex</t>
  </si>
  <si>
    <t>A/B/C</t>
  </si>
  <si>
    <t xml:space="preserve">           * Huiles pour usiner les métaux, huiles de démoulage, huiles anticorrosives</t>
  </si>
  <si>
    <t>27 10.19.91.00.0.1 E</t>
  </si>
  <si>
    <t xml:space="preserve">               * * énumérées à l'annexe I du décret du 17 juin 1999 modifié pris pour l'application de la taxe générale sur les activités polluantes(26) (28) (28 bis) (28 ter)(30)</t>
  </si>
  <si>
    <t>100 Kg</t>
  </si>
  <si>
    <t>Ex</t>
  </si>
  <si>
    <t>TGAP</t>
  </si>
  <si>
    <t>27 10.19.91.00.0.9 Q</t>
  </si>
  <si>
    <t xml:space="preserve">               * * autres (26)(30)…………………………………………………………………………………………………….</t>
  </si>
  <si>
    <t>100 Kg</t>
  </si>
  <si>
    <t>Ex</t>
  </si>
  <si>
    <t>A/B/C</t>
  </si>
  <si>
    <t xml:space="preserve">           *  Huiles isolantes</t>
  </si>
  <si>
    <t>27 10.19.93.00.0.1 S</t>
  </si>
  <si>
    <t xml:space="preserve">               * * énumérées à l'annexe I du décret du 17 juin 1999 modifié pris pour l'application de la taxe générale sur les activités polluantes (26)(28) (28 bis) (28 ter)(30)</t>
  </si>
  <si>
    <t>100 Kg</t>
  </si>
  <si>
    <t>Ex</t>
  </si>
  <si>
    <t>TGAP</t>
  </si>
  <si>
    <t>27 10.19.93.00.0.9 H</t>
  </si>
  <si>
    <t xml:space="preserve">               * * autres (26)(30)…………………………………………………………………………………………………….</t>
  </si>
  <si>
    <t>100 Kg</t>
  </si>
  <si>
    <t>Ex</t>
  </si>
  <si>
    <t>A/B/C</t>
  </si>
  <si>
    <t xml:space="preserve">           *  Autres huiles lubrifiantes et autres</t>
  </si>
  <si>
    <t>27 10.19.99.00.0.1 T</t>
  </si>
  <si>
    <t xml:space="preserve">               * * énumérées à l'annexe I du décret du 17 juin 1999 modifié pris pour l'application de la taxe générale sur les activités polluantes(26) (28) (28 bis) (28 ter)(30)</t>
  </si>
  <si>
    <t>100 Kg</t>
  </si>
  <si>
    <t>Ex</t>
  </si>
  <si>
    <t>TGAP</t>
  </si>
  <si>
    <t>27 10.19.99.00.0.9 L</t>
  </si>
  <si>
    <t xml:space="preserve">               * * autres (13) (26)(30)…………………………………………………………………………………………………….</t>
  </si>
  <si>
    <t>100 Kg</t>
  </si>
  <si>
    <t>Ex</t>
  </si>
  <si>
    <t>- Déchets d'huiles :</t>
  </si>
  <si>
    <t xml:space="preserve">- - contenant des diphényles polychlorés (PCB), des terphényles polychlorés (PCT) </t>
  </si>
  <si>
    <t>ou des diphényles polybromés (PBB) ;</t>
  </si>
  <si>
    <t>27 10.91.00.00.0.1 S</t>
  </si>
  <si>
    <t xml:space="preserve">- - - destinés à un usage autre que carburant ou combustible ou destinés à </t>
  </si>
  <si>
    <t xml:space="preserve">une installation habilitée à brûler des déchets d'hydrocarbures, ouvrant droit </t>
  </si>
  <si>
    <t>à exonération (33)</t>
  </si>
  <si>
    <t>. . .</t>
  </si>
  <si>
    <t>100 Kg</t>
  </si>
  <si>
    <t>Ex</t>
  </si>
  <si>
    <t>. . .</t>
  </si>
  <si>
    <t>TVO</t>
  </si>
  <si>
    <t>27 10.91.00.00.0.9 H</t>
  </si>
  <si>
    <t>- - - autres……………………………………………………………………………………………………………………………………………………………</t>
  </si>
  <si>
    <t>. . .</t>
  </si>
  <si>
    <t>100 Kg</t>
  </si>
  <si>
    <t>. . .</t>
  </si>
  <si>
    <t>TVO</t>
  </si>
  <si>
    <t>- - autres</t>
  </si>
  <si>
    <t>27 10.99.00.00.0.1 B</t>
  </si>
  <si>
    <t xml:space="preserve">- - - destinés à un usage autre que carburant ou combustible ou destinés à </t>
  </si>
  <si>
    <t xml:space="preserve">une installation habilitée à brûler des déchets d'hydrocarbures, ouvrant droit </t>
  </si>
  <si>
    <t xml:space="preserve">à exonération (33) </t>
  </si>
  <si>
    <t>. . .</t>
  </si>
  <si>
    <t>100 Kg</t>
  </si>
  <si>
    <t>Ex</t>
  </si>
  <si>
    <t>. . .</t>
  </si>
  <si>
    <t>TVO</t>
  </si>
  <si>
    <t>27 10.99.00.00.0.9 E</t>
  </si>
  <si>
    <t>- - - autres……………………………………………………………………………………………………………………………………………………………</t>
  </si>
  <si>
    <t>. . .</t>
  </si>
  <si>
    <t>100 Kg</t>
  </si>
  <si>
    <t>. . .</t>
  </si>
  <si>
    <t>TVO</t>
  </si>
  <si>
    <t>Gaz de pétrole et autres hydrocarbures gazeux :</t>
  </si>
  <si>
    <t xml:space="preserve"> - Liquéfiés :</t>
  </si>
  <si>
    <t xml:space="preserve"> - - Propane :</t>
  </si>
  <si>
    <t xml:space="preserve"> - - - Propane d'une pureté égale ou supérieure à 99% :</t>
  </si>
  <si>
    <t>27 11.12.11.00.0.0 L</t>
  </si>
  <si>
    <t xml:space="preserve"> - - - - destiné à ëtre utilisé comme carburant ou comme combustible (26)(32)……………………………………………………………………………..</t>
  </si>
  <si>
    <t>. . .</t>
  </si>
  <si>
    <t>. . .</t>
  </si>
  <si>
    <t>27 11.12.19.00.0.0 C</t>
  </si>
  <si>
    <t xml:space="preserve"> - - - - destiné à d'autres usages (32)…...……………………………………………………...……………………………………………………..</t>
  </si>
  <si>
    <t>. . .</t>
  </si>
  <si>
    <t>Ex</t>
  </si>
  <si>
    <t>Ex</t>
  </si>
  <si>
    <t>Ex</t>
  </si>
  <si>
    <t>. . .</t>
  </si>
  <si>
    <t xml:space="preserve"> - - - Autre : </t>
  </si>
  <si>
    <t>27 11.12.91.00.0.0 M</t>
  </si>
  <si>
    <t xml:space="preserve"> - - - - destiné à subir un traitement défini (3) (19) (30)(32)...................................................................................................</t>
  </si>
  <si>
    <t xml:space="preserve"> . . .</t>
  </si>
  <si>
    <t>Ex</t>
  </si>
  <si>
    <t xml:space="preserve"> . . .</t>
  </si>
  <si>
    <t xml:space="preserve"> . . .</t>
  </si>
  <si>
    <t xml:space="preserve"> . . .</t>
  </si>
  <si>
    <t>Ex</t>
  </si>
  <si>
    <t>27 11.12.93.00.0.0 J</t>
  </si>
  <si>
    <t xml:space="preserve"> - - - - destiné à subir une transformation chimique par un traitement autre que ceux</t>
  </si>
  <si>
    <t xml:space="preserve">              définis pour la sous position 27 11 12  91 (3) (19) (30)(32).........................................................................</t>
  </si>
  <si>
    <t xml:space="preserve"> . . .</t>
  </si>
  <si>
    <t>Ex</t>
  </si>
  <si>
    <t xml:space="preserve"> . . .</t>
  </si>
  <si>
    <t xml:space="preserve"> . . .</t>
  </si>
  <si>
    <t xml:space="preserve"> . . .</t>
  </si>
  <si>
    <t>Ex</t>
  </si>
  <si>
    <t xml:space="preserve"> - - - - destiné à d'autres usages</t>
  </si>
  <si>
    <t xml:space="preserve"> - - - - -  d'une pureté supérieure à 90 % mais inférieure à 99% :</t>
  </si>
  <si>
    <t>27 11.12.94.00.0.1 L</t>
  </si>
  <si>
    <t xml:space="preserve">            * sous conditions d'emploi  (11) (16) (19)(30)(32)..................................................................…</t>
  </si>
  <si>
    <t xml:space="preserve"> . . .</t>
  </si>
  <si>
    <t>100 Kg</t>
  </si>
  <si>
    <t xml:space="preserve"> . . .</t>
  </si>
  <si>
    <t>27 11.12.94.00.0.2 B</t>
  </si>
  <si>
    <t xml:space="preserve">            * destiné à être utilisé comme carburant (11) (19)(30)(32)...............................................</t>
  </si>
  <si>
    <t xml:space="preserve"> . . .</t>
  </si>
  <si>
    <t>100 Kg</t>
  </si>
  <si>
    <t>27 11.12.94.00.0.9 W</t>
  </si>
  <si>
    <t xml:space="preserve">            * autre (19)(26)(30)(32).........................................................................................................................................</t>
  </si>
  <si>
    <t xml:space="preserve"> . . .</t>
  </si>
  <si>
    <t>100 Kg</t>
  </si>
  <si>
    <t>Ex</t>
  </si>
  <si>
    <t xml:space="preserve"> . . .</t>
  </si>
  <si>
    <t xml:space="preserve"> - - - - - autres :</t>
  </si>
  <si>
    <t xml:space="preserve"> </t>
  </si>
  <si>
    <t>27 11.12.97.00.0.1 W</t>
  </si>
  <si>
    <t>29 02.30.00.00.0.1 Q</t>
  </si>
  <si>
    <t>38 11.90.00.90.0.1 Q</t>
  </si>
  <si>
    <t>38 11.90.00.90.0.2 K</t>
  </si>
  <si>
    <t>38 11.90.00.90.0.3 Z</t>
  </si>
  <si>
    <t>38 11.90.00.90.0.4 A</t>
  </si>
  <si>
    <t>38 11.90.00.90.0.5 P</t>
  </si>
  <si>
    <t>38 11.90.00.90.0.6 S</t>
  </si>
  <si>
    <t>38 11.90.00.90.0.9 R</t>
  </si>
  <si>
    <t>- - - autres(26)……………………………………………………………………………………</t>
  </si>
  <si>
    <t>- - - énumérées à l'annexe I du décret du 17 juin 1999 modifié pris pour l'application de la taxe générale sur les activités polluantes (26)(28)(28 bis) (28 quater)</t>
  </si>
  <si>
    <t>- - Autres:</t>
  </si>
</sst>
</file>

<file path=xl/styles.xml><?xml version="1.0" encoding="utf-8"?>
<styleSheet xmlns="http://schemas.openxmlformats.org/spreadsheetml/2006/main">
  <numFmts count="22">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 F&quot;"/>
    <numFmt numFmtId="173" formatCode="0.000"/>
    <numFmt numFmtId="174" formatCode="0.0%"/>
    <numFmt numFmtId="175" formatCode="d\ mmm\ yy"/>
    <numFmt numFmtId="176" formatCode="#,##0.00&quot; F&quot;;\-#,##0.00&quot; F&quot;"/>
    <numFmt numFmtId="177" formatCode="#,##0&quot; F&quot;;[Red]\-#,##0&quot; F&quot;"/>
  </numFmts>
  <fonts count="27">
    <font>
      <sz val="10"/>
      <name val="Arial"/>
      <family val="0"/>
    </font>
    <font>
      <sz val="7"/>
      <name val="Arial"/>
      <family val="2"/>
    </font>
    <font>
      <sz val="10"/>
      <name val="Antique Olive (W1)"/>
      <family val="2"/>
    </font>
    <font>
      <b/>
      <sz val="10"/>
      <name val="Antique Olive (W1)"/>
      <family val="2"/>
    </font>
    <font>
      <b/>
      <sz val="7"/>
      <name val="Antique Olive (W1)"/>
      <family val="0"/>
    </font>
    <font>
      <sz val="7"/>
      <name val="Antique Olive (W1)"/>
      <family val="0"/>
    </font>
    <font>
      <sz val="8"/>
      <name val="Antique Olive (W1)"/>
      <family val="0"/>
    </font>
    <font>
      <sz val="8"/>
      <name val="Arial"/>
      <family val="0"/>
    </font>
    <font>
      <i/>
      <sz val="7"/>
      <name val="Antique Olive (W1)"/>
      <family val="0"/>
    </font>
    <font>
      <b/>
      <sz val="7"/>
      <name val="Arial"/>
      <family val="0"/>
    </font>
    <font>
      <sz val="6"/>
      <name val="Antique Olive (W1)"/>
      <family val="0"/>
    </font>
    <font>
      <b/>
      <i/>
      <sz val="7"/>
      <name val="Antique Olive (W1)"/>
      <family val="0"/>
    </font>
    <font>
      <sz val="7"/>
      <name val="Antique Olv (WT)"/>
      <family val="0"/>
    </font>
    <font>
      <sz val="7"/>
      <name val="Univers (WN)"/>
      <family val="0"/>
    </font>
    <font>
      <b/>
      <i/>
      <sz val="10"/>
      <name val="Antique Olive (W1)"/>
      <family val="0"/>
    </font>
    <font>
      <b/>
      <i/>
      <sz val="7"/>
      <name val="Arial"/>
      <family val="0"/>
    </font>
    <font>
      <strike/>
      <sz val="10"/>
      <name val="Antique Olive (W1)"/>
      <family val="0"/>
    </font>
    <font>
      <sz val="7"/>
      <name val="Univers  (WN)"/>
      <family val="0"/>
    </font>
    <font>
      <sz val="6"/>
      <name val="Arial"/>
      <family val="2"/>
    </font>
    <font>
      <strike/>
      <sz val="7"/>
      <name val="Arial"/>
      <family val="0"/>
    </font>
    <font>
      <strike/>
      <sz val="7"/>
      <name val="Antique Olive (W1)"/>
      <family val="0"/>
    </font>
    <font>
      <sz val="7"/>
      <name val="Antique Olive Roman"/>
      <family val="2"/>
    </font>
    <font>
      <sz val="6.95"/>
      <name val="Antique Olive Roman"/>
      <family val="2"/>
    </font>
    <font>
      <strike/>
      <sz val="10"/>
      <name val="Arial"/>
      <family val="0"/>
    </font>
    <font>
      <sz val="8"/>
      <name val="Helv"/>
      <family val="0"/>
    </font>
    <font>
      <sz val="7"/>
      <name val="Times New Roman"/>
      <family val="0"/>
    </font>
    <font>
      <sz val="12"/>
      <name val="Times New Roman"/>
      <family val="0"/>
    </font>
  </fonts>
  <fills count="14">
    <fill>
      <patternFill/>
    </fill>
    <fill>
      <patternFill patternType="gray125"/>
    </fill>
    <fill>
      <patternFill patternType="solid">
        <fgColor indexed="31"/>
        <bgColor indexed="64"/>
      </patternFill>
    </fill>
    <fill>
      <patternFill patternType="solid">
        <fgColor indexed="50"/>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9"/>
        <bgColor indexed="64"/>
      </patternFill>
    </fill>
  </fills>
  <borders count="57">
    <border>
      <left/>
      <right/>
      <top/>
      <bottom/>
      <diagonal/>
    </border>
    <border>
      <left style="hair">
        <color indexed="8"/>
      </left>
      <right>
        <color indexed="63"/>
      </right>
      <top>
        <color indexed="63"/>
      </top>
      <bottom>
        <color indexed="63"/>
      </bottom>
    </border>
    <border>
      <left style="medium">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hair">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hair">
        <color indexed="8"/>
      </left>
      <right style="thin">
        <color indexed="8"/>
      </right>
      <top style="thin">
        <color indexed="8"/>
      </top>
      <bottom>
        <color indexed="63"/>
      </bottom>
    </border>
    <border>
      <left style="hair">
        <color indexed="8"/>
      </left>
      <right style="medium">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hair">
        <color indexed="8"/>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hair">
        <color indexed="8"/>
      </left>
      <right>
        <color indexed="63"/>
      </right>
      <top>
        <color indexed="63"/>
      </top>
      <bottom style="medium">
        <color indexed="8"/>
      </bottom>
    </border>
    <border>
      <left style="medium">
        <color indexed="8"/>
      </left>
      <right style="thin">
        <color indexed="8"/>
      </right>
      <top style="thin">
        <color indexed="8"/>
      </top>
      <bottom>
        <color indexed="63"/>
      </bottom>
    </border>
    <border>
      <left style="hair">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thin">
        <color indexed="8"/>
      </left>
      <right>
        <color indexed="63"/>
      </right>
      <top style="medium">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hair">
        <color indexed="8"/>
      </bottom>
    </border>
    <border>
      <left>
        <color indexed="63"/>
      </left>
      <right style="hair">
        <color indexed="8"/>
      </right>
      <top>
        <color indexed="63"/>
      </top>
      <bottom>
        <color indexed="63"/>
      </bottom>
    </border>
    <border>
      <left>
        <color indexed="63"/>
      </left>
      <right style="hair">
        <color indexed="8"/>
      </right>
      <top>
        <color indexed="63"/>
      </top>
      <bottom style="medium">
        <color indexed="8"/>
      </bottom>
    </border>
    <border>
      <left>
        <color indexed="63"/>
      </left>
      <right style="thin">
        <color indexed="8"/>
      </right>
      <top style="hair">
        <color indexed="8"/>
      </top>
      <bottom>
        <color indexed="63"/>
      </bottom>
    </border>
    <border>
      <left style="hair">
        <color indexed="8"/>
      </left>
      <right>
        <color indexed="63"/>
      </right>
      <top style="medium">
        <color indexed="8"/>
      </top>
      <bottom>
        <color indexed="63"/>
      </bottom>
    </border>
    <border>
      <left style="thin">
        <color indexed="8"/>
      </left>
      <right>
        <color indexed="63"/>
      </right>
      <top>
        <color indexed="63"/>
      </top>
      <bottom style="medium">
        <color indexed="8"/>
      </bottom>
    </border>
    <border>
      <left>
        <color indexed="63"/>
      </left>
      <right style="thin">
        <color indexed="8"/>
      </right>
      <top style="medium">
        <color indexed="8"/>
      </top>
      <bottom>
        <color indexed="63"/>
      </bottom>
    </border>
    <border>
      <left>
        <color indexed="63"/>
      </left>
      <right style="medium">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hair">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66">
    <xf numFmtId="0" fontId="0" fillId="0" borderId="0" xfId="0" applyAlignment="1">
      <alignment/>
    </xf>
    <xf numFmtId="0" fontId="0" fillId="0" borderId="0" xfId="0" applyFont="1" applyBorder="1" applyAlignment="1">
      <alignment/>
    </xf>
    <xf numFmtId="0" fontId="0" fillId="0" borderId="1" xfId="0" applyFont="1" applyBorder="1" applyAlignment="1">
      <alignment/>
    </xf>
    <xf numFmtId="10" fontId="0" fillId="0" borderId="1" xfId="0" applyNumberFormat="1" applyFont="1" applyBorder="1" applyAlignment="1">
      <alignment horizontal="right"/>
    </xf>
    <xf numFmtId="0" fontId="0" fillId="2" borderId="0" xfId="0" applyFont="1" applyFill="1" applyBorder="1" applyAlignment="1">
      <alignment/>
    </xf>
    <xf numFmtId="0" fontId="0" fillId="3" borderId="0" xfId="0" applyFont="1" applyFill="1" applyBorder="1" applyAlignment="1">
      <alignment/>
    </xf>
    <xf numFmtId="0" fontId="0" fillId="0" borderId="1" xfId="0" applyFont="1" applyFill="1" applyBorder="1" applyAlignment="1">
      <alignment/>
    </xf>
    <xf numFmtId="0" fontId="0" fillId="0" borderId="0" xfId="0" applyFont="1" applyFill="1" applyBorder="1" applyAlignment="1">
      <alignment/>
    </xf>
    <xf numFmtId="0" fontId="0" fillId="0" borderId="2" xfId="0" applyFont="1" applyFill="1" applyBorder="1" applyAlignment="1">
      <alignment/>
    </xf>
    <xf numFmtId="0" fontId="0" fillId="4" borderId="0" xfId="0" applyFont="1" applyFill="1" applyBorder="1" applyAlignment="1">
      <alignment/>
    </xf>
    <xf numFmtId="0" fontId="0" fillId="5" borderId="0" xfId="0" applyFont="1" applyFill="1" applyBorder="1" applyAlignment="1">
      <alignment/>
    </xf>
    <xf numFmtId="1" fontId="1" fillId="6" borderId="0" xfId="0" applyNumberFormat="1" applyFont="1" applyFill="1" applyBorder="1" applyAlignment="1">
      <alignment/>
    </xf>
    <xf numFmtId="1" fontId="1" fillId="7" borderId="0" xfId="0" applyNumberFormat="1" applyFont="1" applyFill="1" applyBorder="1" applyAlignment="1">
      <alignment/>
    </xf>
    <xf numFmtId="1" fontId="1" fillId="8" borderId="0" xfId="0" applyNumberFormat="1" applyFont="1" applyFill="1" applyBorder="1" applyAlignment="1">
      <alignment/>
    </xf>
    <xf numFmtId="1" fontId="1" fillId="0" borderId="0" xfId="0" applyNumberFormat="1" applyFont="1" applyFill="1" applyBorder="1" applyAlignment="1">
      <alignment/>
    </xf>
    <xf numFmtId="10" fontId="0" fillId="0" borderId="0" xfId="0" applyNumberFormat="1" applyFont="1" applyBorder="1" applyAlignment="1">
      <alignment horizontal="right"/>
    </xf>
    <xf numFmtId="1" fontId="0" fillId="6" borderId="0" xfId="0" applyNumberFormat="1" applyFont="1" applyFill="1" applyBorder="1" applyAlignment="1">
      <alignment/>
    </xf>
    <xf numFmtId="1" fontId="0" fillId="7" borderId="0" xfId="0" applyNumberFormat="1" applyFont="1" applyFill="1" applyBorder="1" applyAlignment="1">
      <alignment/>
    </xf>
    <xf numFmtId="1" fontId="1" fillId="8" borderId="0" xfId="0" applyNumberFormat="1" applyFont="1" applyFill="1" applyBorder="1" applyAlignment="1" applyProtection="1">
      <alignment/>
      <protection/>
    </xf>
    <xf numFmtId="1" fontId="1" fillId="0" borderId="0" xfId="0" applyNumberFormat="1" applyFont="1" applyFill="1" applyBorder="1" applyAlignment="1" applyProtection="1">
      <alignment horizontal="right"/>
      <protection/>
    </xf>
    <xf numFmtId="2" fontId="2" fillId="0"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172" fontId="2" fillId="0" borderId="0" xfId="0" applyNumberFormat="1" applyFont="1" applyFill="1" applyBorder="1" applyAlignment="1" applyProtection="1">
      <alignment/>
      <protection/>
    </xf>
    <xf numFmtId="0" fontId="0" fillId="0" borderId="0" xfId="0" applyFont="1" applyFill="1" applyBorder="1" applyAlignment="1">
      <alignment/>
    </xf>
    <xf numFmtId="0" fontId="4" fillId="0" borderId="3" xfId="0" applyFont="1" applyFill="1" applyBorder="1" applyAlignment="1" applyProtection="1">
      <alignment/>
      <protection/>
    </xf>
    <xf numFmtId="173" fontId="5" fillId="0" borderId="3" xfId="0" applyNumberFormat="1" applyFont="1" applyFill="1" applyBorder="1" applyAlignment="1" applyProtection="1">
      <alignment/>
      <protection locked="0"/>
    </xf>
    <xf numFmtId="0" fontId="5" fillId="0" borderId="3" xfId="0" applyFont="1" applyFill="1" applyBorder="1" applyAlignment="1" applyProtection="1">
      <alignment/>
      <protection/>
    </xf>
    <xf numFmtId="0" fontId="2" fillId="8" borderId="0" xfId="0" applyFont="1" applyFill="1" applyBorder="1" applyAlignment="1" applyProtection="1">
      <alignment/>
      <protection/>
    </xf>
    <xf numFmtId="0" fontId="3" fillId="0" borderId="4" xfId="0" applyFont="1" applyFill="1" applyBorder="1" applyAlignment="1" applyProtection="1">
      <alignment horizontal="center"/>
      <protection/>
    </xf>
    <xf numFmtId="0" fontId="3" fillId="0" borderId="5" xfId="0" applyFont="1" applyFill="1" applyBorder="1" applyAlignment="1" applyProtection="1">
      <alignment/>
      <protection/>
    </xf>
    <xf numFmtId="0" fontId="2" fillId="0" borderId="0" xfId="0" applyFont="1" applyFill="1" applyBorder="1" applyAlignment="1">
      <alignment/>
    </xf>
    <xf numFmtId="1" fontId="1" fillId="8" borderId="0" xfId="0" applyNumberFormat="1" applyFont="1" applyFill="1" applyBorder="1" applyAlignment="1" applyProtection="1">
      <alignment horizontal="center"/>
      <protection/>
    </xf>
    <xf numFmtId="174" fontId="5" fillId="0" borderId="3" xfId="0" applyNumberFormat="1" applyFont="1" applyFill="1" applyBorder="1" applyAlignment="1" applyProtection="1">
      <alignment horizontal="center"/>
      <protection locked="0"/>
    </xf>
    <xf numFmtId="2" fontId="5" fillId="0" borderId="3" xfId="0" applyNumberFormat="1" applyFont="1" applyFill="1" applyBorder="1" applyAlignment="1" applyProtection="1">
      <alignment/>
      <protection locked="0"/>
    </xf>
    <xf numFmtId="172" fontId="5" fillId="0" borderId="3" xfId="0" applyNumberFormat="1" applyFont="1" applyFill="1" applyBorder="1" applyAlignment="1" applyProtection="1">
      <alignment/>
      <protection/>
    </xf>
    <xf numFmtId="2" fontId="5" fillId="0" borderId="0" xfId="0" applyNumberFormat="1" applyFont="1" applyFill="1" applyBorder="1" applyAlignment="1" applyProtection="1">
      <alignment/>
      <protection locked="0"/>
    </xf>
    <xf numFmtId="0" fontId="5" fillId="8" borderId="0" xfId="0" applyFont="1" applyFill="1" applyBorder="1" applyAlignment="1" applyProtection="1">
      <alignment/>
      <protection/>
    </xf>
    <xf numFmtId="0" fontId="5" fillId="8" borderId="6" xfId="0" applyFont="1" applyFill="1" applyBorder="1" applyAlignment="1" applyProtection="1">
      <alignment/>
      <protection/>
    </xf>
    <xf numFmtId="2" fontId="5" fillId="8" borderId="7" xfId="0" applyNumberFormat="1" applyFont="1" applyFill="1" applyBorder="1" applyAlignment="1" applyProtection="1">
      <alignment horizontal="right"/>
      <protection/>
    </xf>
    <xf numFmtId="0" fontId="5" fillId="0" borderId="6" xfId="0" applyFont="1" applyFill="1" applyBorder="1" applyAlignment="1" applyProtection="1">
      <alignment horizontal="left"/>
      <protection/>
    </xf>
    <xf numFmtId="2" fontId="5" fillId="0" borderId="7" xfId="0" applyNumberFormat="1" applyFont="1" applyFill="1" applyBorder="1" applyAlignment="1" applyProtection="1">
      <alignment horizontal="right"/>
      <protection locked="0"/>
    </xf>
    <xf numFmtId="0" fontId="5" fillId="0" borderId="8" xfId="0" applyFont="1" applyFill="1" applyBorder="1" applyAlignment="1" applyProtection="1">
      <alignment horizontal="center"/>
      <protection/>
    </xf>
    <xf numFmtId="0" fontId="5" fillId="0" borderId="9" xfId="0" applyFont="1" applyFill="1" applyBorder="1" applyAlignment="1" applyProtection="1">
      <alignment horizontal="center"/>
      <protection/>
    </xf>
    <xf numFmtId="0" fontId="5" fillId="0" borderId="10" xfId="0" applyFont="1" applyFill="1" applyBorder="1" applyAlignment="1" applyProtection="1">
      <alignment/>
      <protection/>
    </xf>
    <xf numFmtId="172" fontId="5" fillId="2" borderId="9" xfId="0" applyNumberFormat="1" applyFont="1" applyFill="1" applyBorder="1" applyAlignment="1" applyProtection="1">
      <alignment/>
      <protection/>
    </xf>
    <xf numFmtId="0" fontId="5" fillId="2" borderId="9" xfId="0" applyFont="1" applyFill="1" applyBorder="1" applyAlignment="1" applyProtection="1">
      <alignment/>
      <protection/>
    </xf>
    <xf numFmtId="172" fontId="5" fillId="3" borderId="9" xfId="0" applyNumberFormat="1" applyFont="1" applyFill="1" applyBorder="1" applyAlignment="1" applyProtection="1">
      <alignment horizontal="center"/>
      <protection/>
    </xf>
    <xf numFmtId="172" fontId="5" fillId="3" borderId="9" xfId="0" applyNumberFormat="1" applyFont="1" applyFill="1" applyBorder="1" applyAlignment="1" applyProtection="1">
      <alignment horizontal="right"/>
      <protection/>
    </xf>
    <xf numFmtId="0" fontId="5" fillId="0" borderId="2" xfId="0" applyFont="1" applyFill="1" applyBorder="1" applyAlignment="1" applyProtection="1">
      <alignment/>
      <protection/>
    </xf>
    <xf numFmtId="1" fontId="1" fillId="4" borderId="0" xfId="0" applyNumberFormat="1" applyFont="1" applyFill="1" applyBorder="1" applyAlignment="1" applyProtection="1">
      <alignment/>
      <protection/>
    </xf>
    <xf numFmtId="1" fontId="1" fillId="5" borderId="0" xfId="0" applyNumberFormat="1" applyFont="1" applyFill="1" applyBorder="1" applyAlignment="1" applyProtection="1">
      <alignment/>
      <protection/>
    </xf>
    <xf numFmtId="1" fontId="1" fillId="6" borderId="0" xfId="0" applyNumberFormat="1" applyFont="1" applyFill="1" applyBorder="1" applyAlignment="1" applyProtection="1">
      <alignment/>
      <protection/>
    </xf>
    <xf numFmtId="1" fontId="1" fillId="7" borderId="0" xfId="0" applyNumberFormat="1" applyFont="1" applyFill="1" applyBorder="1" applyAlignment="1" applyProtection="1">
      <alignment/>
      <protection/>
    </xf>
    <xf numFmtId="1" fontId="1" fillId="8" borderId="0" xfId="0" applyNumberFormat="1" applyFont="1" applyFill="1" applyBorder="1" applyAlignment="1" applyProtection="1">
      <alignment horizontal="center" vertical="top"/>
      <protection/>
    </xf>
    <xf numFmtId="1" fontId="0" fillId="0" borderId="0" xfId="0" applyNumberFormat="1" applyFont="1" applyFill="1" applyBorder="1" applyAlignment="1">
      <alignment/>
    </xf>
    <xf numFmtId="173" fontId="4" fillId="0" borderId="3" xfId="0" applyNumberFormat="1" applyFont="1" applyFill="1" applyBorder="1" applyAlignment="1" applyProtection="1">
      <alignment/>
      <protection locked="0"/>
    </xf>
    <xf numFmtId="0" fontId="4" fillId="8" borderId="0" xfId="0" applyFont="1" applyFill="1" applyBorder="1" applyAlignment="1" applyProtection="1">
      <alignment horizontal="right"/>
      <protection/>
    </xf>
    <xf numFmtId="0" fontId="5" fillId="8" borderId="11" xfId="0" applyFont="1" applyFill="1" applyBorder="1" applyAlignment="1" applyProtection="1">
      <alignment/>
      <protection/>
    </xf>
    <xf numFmtId="2" fontId="5" fillId="8" borderId="12" xfId="0" applyNumberFormat="1" applyFont="1" applyFill="1" applyBorder="1" applyAlignment="1" applyProtection="1">
      <alignment horizontal="right"/>
      <protection locked="0"/>
    </xf>
    <xf numFmtId="0" fontId="5" fillId="0" borderId="11" xfId="0" applyFont="1" applyFill="1" applyBorder="1" applyAlignment="1" applyProtection="1">
      <alignment horizontal="left"/>
      <protection/>
    </xf>
    <xf numFmtId="2" fontId="5" fillId="0" borderId="12" xfId="0" applyNumberFormat="1" applyFont="1" applyFill="1" applyBorder="1" applyAlignment="1" applyProtection="1">
      <alignment horizontal="right"/>
      <protection locked="0"/>
    </xf>
    <xf numFmtId="0" fontId="5" fillId="0" borderId="13"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172" fontId="5" fillId="2" borderId="0" xfId="0" applyNumberFormat="1" applyFont="1" applyFill="1" applyBorder="1" applyAlignment="1" applyProtection="1">
      <alignment/>
      <protection/>
    </xf>
    <xf numFmtId="172" fontId="5" fillId="3" borderId="0" xfId="0" applyNumberFormat="1" applyFont="1" applyFill="1" applyBorder="1" applyAlignment="1" applyProtection="1">
      <alignment horizontal="center"/>
      <protection/>
    </xf>
    <xf numFmtId="172" fontId="5" fillId="3" borderId="0" xfId="0" applyNumberFormat="1" applyFont="1" applyFill="1" applyBorder="1" applyAlignment="1" applyProtection="1">
      <alignment horizontal="right"/>
      <protection/>
    </xf>
    <xf numFmtId="0" fontId="5" fillId="0" borderId="15" xfId="0" applyFont="1" applyFill="1" applyBorder="1" applyAlignment="1" applyProtection="1">
      <alignment horizontal="center"/>
      <protection/>
    </xf>
    <xf numFmtId="0" fontId="5" fillId="0" borderId="2" xfId="0" applyFont="1" applyFill="1" applyBorder="1" applyAlignment="1" applyProtection="1">
      <alignment horizontal="center"/>
      <protection/>
    </xf>
    <xf numFmtId="1" fontId="1" fillId="4" borderId="0" xfId="0" applyNumberFormat="1" applyFont="1" applyFill="1" applyBorder="1" applyAlignment="1" applyProtection="1">
      <alignment horizontal="center"/>
      <protection/>
    </xf>
    <xf numFmtId="1" fontId="1" fillId="5" borderId="0" xfId="0" applyNumberFormat="1" applyFont="1" applyFill="1" applyBorder="1" applyAlignment="1" applyProtection="1">
      <alignment horizontal="center"/>
      <protection/>
    </xf>
    <xf numFmtId="1" fontId="1" fillId="6" borderId="0" xfId="0" applyNumberFormat="1" applyFont="1" applyFill="1" applyBorder="1" applyAlignment="1" applyProtection="1">
      <alignment horizontal="center"/>
      <protection/>
    </xf>
    <xf numFmtId="1" fontId="1" fillId="7" borderId="0"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172" fontId="5" fillId="0" borderId="16" xfId="0" applyNumberFormat="1" applyFont="1" applyFill="1" applyBorder="1" applyAlignment="1" applyProtection="1">
      <alignment/>
      <protection/>
    </xf>
    <xf numFmtId="2" fontId="5" fillId="0" borderId="16" xfId="0" applyNumberFormat="1" applyFont="1" applyFill="1" applyBorder="1" applyAlignment="1" applyProtection="1">
      <alignment/>
      <protection locked="0"/>
    </xf>
    <xf numFmtId="2" fontId="5" fillId="8" borderId="12" xfId="0" applyNumberFormat="1" applyFont="1" applyFill="1" applyBorder="1" applyAlignment="1" applyProtection="1">
      <alignment horizontal="right"/>
      <protection/>
    </xf>
    <xf numFmtId="0" fontId="5" fillId="0" borderId="14" xfId="0" applyFont="1" applyFill="1" applyBorder="1" applyAlignment="1" applyProtection="1">
      <alignment horizontal="right"/>
      <protection/>
    </xf>
    <xf numFmtId="0" fontId="5" fillId="2" borderId="7" xfId="0" applyFont="1" applyFill="1" applyBorder="1" applyAlignment="1" applyProtection="1">
      <alignment horizontal="center"/>
      <protection/>
    </xf>
    <xf numFmtId="0" fontId="5" fillId="2" borderId="17" xfId="0" applyFont="1" applyFill="1" applyBorder="1" applyAlignment="1" applyProtection="1">
      <alignment horizontal="center"/>
      <protection/>
    </xf>
    <xf numFmtId="0" fontId="5" fillId="0" borderId="1" xfId="0" applyFont="1" applyFill="1" applyBorder="1" applyAlignment="1" applyProtection="1">
      <alignment horizontal="center"/>
      <protection/>
    </xf>
    <xf numFmtId="2" fontId="5" fillId="0" borderId="18" xfId="0" applyNumberFormat="1" applyFont="1" applyFill="1" applyBorder="1" applyAlignment="1" applyProtection="1">
      <alignment horizontal="center"/>
      <protection/>
    </xf>
    <xf numFmtId="2" fontId="5" fillId="0" borderId="19" xfId="0" applyNumberFormat="1" applyFont="1" applyFill="1" applyBorder="1" applyAlignment="1" applyProtection="1">
      <alignment horizontal="center" vertical="top"/>
      <protection/>
    </xf>
    <xf numFmtId="0" fontId="5" fillId="0" borderId="2" xfId="0" applyFont="1" applyFill="1" applyBorder="1" applyAlignment="1" applyProtection="1">
      <alignment horizontal="center" vertical="top"/>
      <protection/>
    </xf>
    <xf numFmtId="1" fontId="1" fillId="4" borderId="0" xfId="0" applyNumberFormat="1" applyFont="1" applyFill="1" applyBorder="1" applyAlignment="1" applyProtection="1">
      <alignment horizontal="center" vertical="top"/>
      <protection/>
    </xf>
    <xf numFmtId="1" fontId="1" fillId="5" borderId="0" xfId="0" applyNumberFormat="1" applyFont="1" applyFill="1" applyBorder="1" applyAlignment="1" applyProtection="1">
      <alignment horizontal="center" vertical="top"/>
      <protection/>
    </xf>
    <xf numFmtId="1" fontId="1" fillId="6" borderId="0" xfId="0" applyNumberFormat="1" applyFont="1" applyFill="1" applyBorder="1" applyAlignment="1" applyProtection="1">
      <alignment horizontal="center" vertical="top"/>
      <protection/>
    </xf>
    <xf numFmtId="1" fontId="1" fillId="7" borderId="0" xfId="0" applyNumberFormat="1" applyFont="1" applyFill="1" applyBorder="1" applyAlignment="1" applyProtection="1">
      <alignment horizontal="center" vertical="top"/>
      <protection/>
    </xf>
    <xf numFmtId="172" fontId="5" fillId="0" borderId="14" xfId="0" applyNumberFormat="1" applyFont="1" applyFill="1" applyBorder="1" applyAlignment="1" applyProtection="1">
      <alignment/>
      <protection/>
    </xf>
    <xf numFmtId="2" fontId="5" fillId="0" borderId="14" xfId="0" applyNumberFormat="1" applyFont="1" applyFill="1" applyBorder="1" applyAlignment="1" applyProtection="1">
      <alignment/>
      <protection locked="0"/>
    </xf>
    <xf numFmtId="0" fontId="5" fillId="0" borderId="14" xfId="0" applyFont="1" applyFill="1" applyBorder="1" applyAlignment="1" applyProtection="1">
      <alignment/>
      <protection/>
    </xf>
    <xf numFmtId="0" fontId="0" fillId="0" borderId="12" xfId="0" applyFont="1" applyBorder="1" applyAlignment="1">
      <alignment horizontal="center"/>
    </xf>
    <xf numFmtId="0" fontId="5" fillId="2" borderId="12" xfId="0" applyFont="1" applyFill="1" applyBorder="1" applyAlignment="1" applyProtection="1">
      <alignment/>
      <protection/>
    </xf>
    <xf numFmtId="0" fontId="5" fillId="2" borderId="0" xfId="0" applyFont="1" applyFill="1" applyBorder="1" applyAlignment="1" applyProtection="1">
      <alignment/>
      <protection/>
    </xf>
    <xf numFmtId="2" fontId="5" fillId="0" borderId="20" xfId="0" applyNumberFormat="1" applyFont="1" applyFill="1" applyBorder="1" applyAlignment="1" applyProtection="1">
      <alignment horizontal="center"/>
      <protection/>
    </xf>
    <xf numFmtId="2" fontId="5" fillId="0" borderId="21" xfId="0" applyNumberFormat="1" applyFont="1" applyFill="1" applyBorder="1" applyAlignment="1" applyProtection="1">
      <alignment horizontal="center" vertical="top"/>
      <protection/>
    </xf>
    <xf numFmtId="1" fontId="1" fillId="8" borderId="0" xfId="0" applyNumberFormat="1" applyFont="1" applyFill="1" applyBorder="1" applyAlignment="1" applyProtection="1">
      <alignment horizontal="center" vertical="center"/>
      <protection/>
    </xf>
    <xf numFmtId="172" fontId="2" fillId="0" borderId="0" xfId="0" applyNumberFormat="1" applyFont="1" applyFill="1" applyBorder="1" applyAlignment="1" applyProtection="1">
      <alignment horizontal="center"/>
      <protection/>
    </xf>
    <xf numFmtId="172" fontId="5" fillId="0" borderId="14" xfId="0" applyNumberFormat="1" applyFont="1" applyFill="1" applyBorder="1" applyAlignment="1" applyProtection="1">
      <alignment horizontal="left"/>
      <protection/>
    </xf>
    <xf numFmtId="2" fontId="5" fillId="0" borderId="14" xfId="0" applyNumberFormat="1" applyFont="1" applyFill="1" applyBorder="1" applyAlignment="1" applyProtection="1">
      <alignment horizontal="right"/>
      <protection locked="0"/>
    </xf>
    <xf numFmtId="2" fontId="5" fillId="0" borderId="0" xfId="0" applyNumberFormat="1" applyFont="1" applyFill="1" applyBorder="1" applyAlignment="1" applyProtection="1">
      <alignment horizontal="right"/>
      <protection locked="0"/>
    </xf>
    <xf numFmtId="0" fontId="5" fillId="8" borderId="0" xfId="0" applyFont="1" applyFill="1" applyBorder="1" applyAlignment="1" applyProtection="1">
      <alignment horizontal="center"/>
      <protection/>
    </xf>
    <xf numFmtId="0" fontId="5" fillId="8" borderId="11" xfId="0" applyFont="1" applyFill="1" applyBorder="1" applyAlignment="1" applyProtection="1">
      <alignment horizontal="left"/>
      <protection/>
    </xf>
    <xf numFmtId="0" fontId="5" fillId="0" borderId="22" xfId="0" applyFont="1" applyFill="1" applyBorder="1" applyAlignment="1" applyProtection="1">
      <alignment horizontal="left"/>
      <protection/>
    </xf>
    <xf numFmtId="2" fontId="5" fillId="0" borderId="23" xfId="0" applyNumberFormat="1" applyFont="1" applyFill="1" applyBorder="1" applyAlignment="1" applyProtection="1">
      <alignment horizontal="right"/>
      <protection locked="0"/>
    </xf>
    <xf numFmtId="0" fontId="5" fillId="0" borderId="24" xfId="0" applyFont="1" applyFill="1" applyBorder="1" applyAlignment="1" applyProtection="1">
      <alignment horizontal="center"/>
      <protection/>
    </xf>
    <xf numFmtId="172" fontId="5" fillId="0" borderId="0" xfId="0" applyNumberFormat="1" applyFont="1" applyFill="1" applyBorder="1" applyAlignment="1" applyProtection="1">
      <alignment horizontal="center"/>
      <protection/>
    </xf>
    <xf numFmtId="0" fontId="5" fillId="2" borderId="12" xfId="0" applyFont="1" applyFill="1" applyBorder="1" applyAlignment="1" applyProtection="1">
      <alignment horizontal="center"/>
      <protection/>
    </xf>
    <xf numFmtId="0" fontId="5" fillId="2" borderId="0" xfId="0" applyFont="1" applyFill="1" applyBorder="1" applyAlignment="1" applyProtection="1">
      <alignment horizontal="center"/>
      <protection/>
    </xf>
    <xf numFmtId="172" fontId="5" fillId="0" borderId="1" xfId="0" applyNumberFormat="1" applyFont="1" applyFill="1" applyBorder="1" applyAlignment="1" applyProtection="1">
      <alignment horizontal="center"/>
      <protection/>
    </xf>
    <xf numFmtId="172" fontId="5" fillId="0" borderId="12" xfId="0" applyNumberFormat="1" applyFont="1" applyFill="1" applyBorder="1" applyAlignment="1" applyProtection="1">
      <alignment horizontal="center"/>
      <protection/>
    </xf>
    <xf numFmtId="0" fontId="2" fillId="0" borderId="0" xfId="0" applyFont="1" applyFill="1" applyBorder="1" applyAlignment="1">
      <alignment horizontal="center"/>
    </xf>
    <xf numFmtId="174" fontId="4" fillId="0" borderId="3" xfId="0" applyNumberFormat="1" applyFont="1" applyFill="1" applyBorder="1" applyAlignment="1" applyProtection="1">
      <alignment horizontal="center"/>
      <protection locked="0"/>
    </xf>
    <xf numFmtId="2" fontId="5" fillId="0" borderId="3" xfId="0" applyNumberFormat="1" applyFont="1" applyFill="1" applyBorder="1" applyAlignment="1" applyProtection="1">
      <alignment horizontal="right"/>
      <protection locked="0"/>
    </xf>
    <xf numFmtId="0" fontId="5" fillId="8" borderId="22" xfId="0" applyFont="1" applyFill="1" applyBorder="1" applyAlignment="1" applyProtection="1">
      <alignment/>
      <protection/>
    </xf>
    <xf numFmtId="2" fontId="5" fillId="8" borderId="23" xfId="0" applyNumberFormat="1" applyFont="1" applyFill="1" applyBorder="1" applyAlignment="1" applyProtection="1">
      <alignment horizontal="right"/>
      <protection/>
    </xf>
    <xf numFmtId="0" fontId="5" fillId="0" borderId="4" xfId="0" applyFont="1" applyFill="1" applyBorder="1" applyAlignment="1" applyProtection="1">
      <alignment horizontal="left"/>
      <protection/>
    </xf>
    <xf numFmtId="2" fontId="5" fillId="0" borderId="5" xfId="0" applyNumberFormat="1" applyFont="1" applyFill="1" applyBorder="1" applyAlignment="1" applyProtection="1">
      <alignment horizontal="right"/>
      <protection locked="0"/>
    </xf>
    <xf numFmtId="0" fontId="2" fillId="0" borderId="25" xfId="0" applyFont="1" applyFill="1" applyBorder="1" applyAlignment="1">
      <alignment/>
    </xf>
    <xf numFmtId="0" fontId="5" fillId="0" borderId="26" xfId="0" applyFont="1" applyFill="1" applyBorder="1" applyAlignment="1" applyProtection="1">
      <alignment horizontal="center" vertical="center"/>
      <protection/>
    </xf>
    <xf numFmtId="0" fontId="5" fillId="0" borderId="3" xfId="0" applyFont="1" applyFill="1" applyBorder="1" applyAlignment="1" applyProtection="1">
      <alignment horizontal="center" vertical="center"/>
      <protection/>
    </xf>
    <xf numFmtId="0" fontId="5" fillId="0" borderId="26" xfId="0" applyNumberFormat="1"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26" xfId="0" applyFont="1" applyFill="1" applyBorder="1" applyAlignment="1" applyProtection="1">
      <alignment horizontal="center" vertical="center"/>
      <protection/>
    </xf>
    <xf numFmtId="0" fontId="5" fillId="0" borderId="27"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protection/>
    </xf>
    <xf numFmtId="0" fontId="5" fillId="0" borderId="29" xfId="0" applyNumberFormat="1" applyFont="1" applyFill="1" applyBorder="1" applyAlignment="1" applyProtection="1">
      <alignment horizontal="center" vertical="center"/>
      <protection/>
    </xf>
    <xf numFmtId="0" fontId="5" fillId="0" borderId="2" xfId="0" applyFont="1" applyFill="1" applyBorder="1" applyAlignment="1" applyProtection="1">
      <alignment horizontal="center" vertical="center"/>
      <protection/>
    </xf>
    <xf numFmtId="1" fontId="1" fillId="4" borderId="0" xfId="0" applyNumberFormat="1" applyFont="1" applyFill="1" applyBorder="1" applyAlignment="1" applyProtection="1">
      <alignment horizontal="center" vertical="center"/>
      <protection/>
    </xf>
    <xf numFmtId="1" fontId="1" fillId="5" borderId="0" xfId="0" applyNumberFormat="1" applyFont="1" applyFill="1" applyBorder="1" applyAlignment="1" applyProtection="1">
      <alignment horizontal="center" vertical="center"/>
      <protection/>
    </xf>
    <xf numFmtId="1" fontId="1" fillId="6" borderId="0" xfId="0" applyNumberFormat="1" applyFont="1" applyFill="1" applyBorder="1" applyAlignment="1" applyProtection="1">
      <alignment horizontal="center" vertical="center"/>
      <protection/>
    </xf>
    <xf numFmtId="1" fontId="1" fillId="7" borderId="0" xfId="0" applyNumberFormat="1" applyFont="1" applyFill="1" applyBorder="1" applyAlignment="1" applyProtection="1">
      <alignment horizontal="center" vertical="center"/>
      <protection/>
    </xf>
    <xf numFmtId="2" fontId="2" fillId="0" borderId="0" xfId="0" applyNumberFormat="1" applyFont="1" applyFill="1" applyBorder="1" applyAlignment="1">
      <alignment/>
    </xf>
    <xf numFmtId="0" fontId="6" fillId="0" borderId="0" xfId="0" applyFont="1" applyFill="1" applyBorder="1" applyAlignment="1" applyProtection="1">
      <alignment/>
      <protection/>
    </xf>
    <xf numFmtId="2" fontId="5" fillId="8" borderId="7" xfId="0" applyNumberFormat="1" applyFont="1" applyFill="1" applyBorder="1" applyAlignment="1" applyProtection="1">
      <alignment horizontal="right"/>
      <protection locked="0"/>
    </xf>
    <xf numFmtId="0" fontId="5" fillId="0" borderId="14" xfId="0" applyFont="1" applyFill="1" applyBorder="1" applyAlignment="1" applyProtection="1">
      <alignment horizontal="left"/>
      <protection/>
    </xf>
    <xf numFmtId="0" fontId="5" fillId="0" borderId="0" xfId="0" applyFont="1" applyFill="1" applyBorder="1" applyAlignment="1" applyProtection="1">
      <alignment horizontal="right"/>
      <protection/>
    </xf>
    <xf numFmtId="0" fontId="5" fillId="3" borderId="0" xfId="0" applyFont="1" applyFill="1" applyBorder="1" applyAlignment="1" applyProtection="1">
      <alignment horizontal="right"/>
      <protection/>
    </xf>
    <xf numFmtId="0" fontId="5" fillId="0" borderId="12" xfId="0" applyFont="1" applyFill="1" applyBorder="1" applyAlignment="1" applyProtection="1">
      <alignment horizontal="right"/>
      <protection/>
    </xf>
    <xf numFmtId="1" fontId="1" fillId="8" borderId="0" xfId="0" applyNumberFormat="1" applyFont="1" applyFill="1" applyBorder="1" applyAlignment="1" applyProtection="1">
      <alignment horizontal="right"/>
      <protection/>
    </xf>
    <xf numFmtId="2" fontId="7" fillId="0" borderId="0" xfId="0" applyNumberFormat="1" applyFont="1" applyFill="1" applyBorder="1" applyAlignment="1" applyProtection="1">
      <alignment horizontal="center"/>
      <protection/>
    </xf>
    <xf numFmtId="0" fontId="4" fillId="0" borderId="14" xfId="0" applyFont="1" applyFill="1" applyBorder="1" applyAlignment="1" applyProtection="1">
      <alignment horizontal="justify" vertical="center" wrapText="1"/>
      <protection/>
    </xf>
    <xf numFmtId="0" fontId="5" fillId="8" borderId="4" xfId="0" applyFont="1" applyFill="1" applyBorder="1" applyAlignment="1" applyProtection="1">
      <alignment/>
      <protection/>
    </xf>
    <xf numFmtId="2" fontId="5" fillId="8" borderId="5" xfId="0" applyNumberFormat="1" applyFont="1" applyFill="1" applyBorder="1" applyAlignment="1" applyProtection="1">
      <alignment horizontal="right"/>
      <protection locked="0"/>
    </xf>
    <xf numFmtId="0" fontId="0" fillId="0" borderId="13" xfId="0" applyFont="1" applyFill="1" applyBorder="1" applyAlignment="1">
      <alignment/>
    </xf>
    <xf numFmtId="0" fontId="0" fillId="0" borderId="14" xfId="0" applyFont="1" applyFill="1" applyBorder="1" applyAlignment="1">
      <alignment/>
    </xf>
    <xf numFmtId="2" fontId="5" fillId="0" borderId="12" xfId="0" applyNumberFormat="1" applyFont="1" applyFill="1" applyBorder="1" applyAlignment="1" applyProtection="1">
      <alignment horizontal="right"/>
      <protection/>
    </xf>
    <xf numFmtId="1" fontId="1" fillId="4" borderId="0" xfId="0" applyNumberFormat="1" applyFont="1" applyFill="1" applyBorder="1" applyAlignment="1" applyProtection="1">
      <alignment horizontal="right"/>
      <protection/>
    </xf>
    <xf numFmtId="1" fontId="1" fillId="5" borderId="0" xfId="0" applyNumberFormat="1" applyFont="1" applyFill="1" applyBorder="1" applyAlignment="1" applyProtection="1">
      <alignment horizontal="right"/>
      <protection/>
    </xf>
    <xf numFmtId="1" fontId="1" fillId="6" borderId="0" xfId="0" applyNumberFormat="1" applyFont="1" applyFill="1" applyBorder="1" applyAlignment="1" applyProtection="1">
      <alignment horizontal="right"/>
      <protection/>
    </xf>
    <xf numFmtId="1" fontId="1" fillId="7" borderId="0" xfId="0" applyNumberFormat="1" applyFont="1" applyFill="1" applyBorder="1" applyAlignment="1" applyProtection="1">
      <alignment horizontal="right"/>
      <protection/>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pplyProtection="1">
      <alignment vertical="center" wrapText="1"/>
      <protection/>
    </xf>
    <xf numFmtId="0" fontId="8" fillId="0" borderId="14" xfId="0" applyFont="1" applyFill="1" applyBorder="1" applyAlignment="1" applyProtection="1">
      <alignment vertical="center" wrapText="1"/>
      <protection/>
    </xf>
    <xf numFmtId="2" fontId="5" fillId="0" borderId="2" xfId="0" applyNumberFormat="1" applyFont="1" applyFill="1" applyBorder="1" applyAlignment="1" applyProtection="1">
      <alignment horizontal="right"/>
      <protection/>
    </xf>
    <xf numFmtId="1" fontId="9" fillId="7" borderId="0" xfId="0" applyNumberFormat="1" applyFont="1" applyFill="1" applyBorder="1" applyAlignment="1" applyProtection="1">
      <alignment horizontal="right"/>
      <protection/>
    </xf>
    <xf numFmtId="0" fontId="6" fillId="0" borderId="3" xfId="0" applyFont="1" applyFill="1" applyBorder="1" applyAlignment="1">
      <alignment/>
    </xf>
    <xf numFmtId="0" fontId="8" fillId="0" borderId="14" xfId="0" applyFont="1" applyFill="1" applyBorder="1" applyAlignment="1" applyProtection="1">
      <alignment/>
      <protection/>
    </xf>
    <xf numFmtId="2" fontId="7" fillId="0" borderId="0" xfId="0" applyNumberFormat="1" applyFont="1" applyFill="1" applyBorder="1" applyAlignment="1">
      <alignment horizontal="center"/>
    </xf>
    <xf numFmtId="0" fontId="4" fillId="0" borderId="0" xfId="0" applyFont="1" applyFill="1" applyBorder="1" applyAlignment="1" applyProtection="1">
      <alignment horizontal="left"/>
      <protection/>
    </xf>
    <xf numFmtId="175" fontId="4" fillId="0" borderId="0" xfId="0" applyNumberFormat="1" applyFont="1" applyFill="1" applyBorder="1" applyAlignment="1" applyProtection="1">
      <alignment horizontal="center"/>
      <protection/>
    </xf>
    <xf numFmtId="0" fontId="4" fillId="0" borderId="0" xfId="0" applyFont="1" applyFill="1" applyBorder="1" applyAlignment="1" applyProtection="1">
      <alignment/>
      <protection/>
    </xf>
    <xf numFmtId="0" fontId="4" fillId="0" borderId="14" xfId="0" applyFont="1" applyFill="1" applyBorder="1" applyAlignment="1" applyProtection="1">
      <alignment/>
      <protection/>
    </xf>
    <xf numFmtId="2" fontId="5" fillId="0" borderId="2" xfId="0" applyNumberFormat="1" applyFont="1" applyFill="1" applyBorder="1" applyAlignment="1" applyProtection="1">
      <alignment horizontal="center"/>
      <protection/>
    </xf>
    <xf numFmtId="10" fontId="10" fillId="0" borderId="3" xfId="0" applyNumberFormat="1" applyFont="1" applyFill="1" applyBorder="1" applyAlignment="1">
      <alignment horizontal="center"/>
    </xf>
    <xf numFmtId="0" fontId="5" fillId="0" borderId="3" xfId="0" applyFont="1" applyFill="1" applyBorder="1" applyAlignment="1" applyProtection="1">
      <alignment/>
      <protection locked="0"/>
    </xf>
    <xf numFmtId="0" fontId="5" fillId="0" borderId="0" xfId="0" applyFont="1" applyFill="1" applyBorder="1" applyAlignment="1" applyProtection="1">
      <alignment/>
      <protection locked="0"/>
    </xf>
    <xf numFmtId="174" fontId="5" fillId="0" borderId="3" xfId="0" applyNumberFormat="1" applyFont="1" applyFill="1" applyBorder="1" applyAlignment="1" applyProtection="1">
      <alignment horizontal="center"/>
      <protection/>
    </xf>
    <xf numFmtId="0" fontId="6" fillId="0" borderId="3" xfId="0" applyFont="1" applyFill="1" applyBorder="1" applyAlignment="1" applyProtection="1">
      <alignment/>
      <protection/>
    </xf>
    <xf numFmtId="2" fontId="6" fillId="0" borderId="0" xfId="0" applyNumberFormat="1" applyFont="1" applyFill="1" applyBorder="1" applyAlignment="1" applyProtection="1">
      <alignment/>
      <protection/>
    </xf>
    <xf numFmtId="0" fontId="6" fillId="0" borderId="0" xfId="0" applyFont="1" applyFill="1" applyBorder="1" applyAlignment="1" applyProtection="1">
      <alignment horizontal="center"/>
      <protection/>
    </xf>
    <xf numFmtId="0" fontId="6" fillId="0" borderId="3" xfId="0" applyFont="1"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horizontal="center"/>
    </xf>
    <xf numFmtId="0" fontId="5" fillId="0" borderId="14" xfId="0" applyFont="1" applyFill="1" applyBorder="1" applyAlignment="1" applyProtection="1">
      <alignment/>
      <protection/>
    </xf>
    <xf numFmtId="9" fontId="5" fillId="3" borderId="0" xfId="0" applyNumberFormat="1" applyFont="1" applyFill="1" applyBorder="1" applyAlignment="1" applyProtection="1">
      <alignment horizontal="right"/>
      <protection/>
    </xf>
    <xf numFmtId="174" fontId="5" fillId="0" borderId="0" xfId="0" applyNumberFormat="1" applyFont="1" applyFill="1" applyBorder="1" applyAlignment="1" applyProtection="1">
      <alignment horizontal="center"/>
      <protection/>
    </xf>
    <xf numFmtId="0" fontId="5" fillId="0" borderId="14" xfId="0" applyFont="1" applyFill="1" applyBorder="1" applyAlignment="1">
      <alignment/>
    </xf>
    <xf numFmtId="0" fontId="8" fillId="0" borderId="14" xfId="0" applyFont="1" applyFill="1" applyBorder="1" applyAlignment="1" applyProtection="1">
      <alignment horizontal="justify" vertical="center" wrapText="1"/>
      <protection/>
    </xf>
    <xf numFmtId="0" fontId="0" fillId="0" borderId="14" xfId="0" applyFont="1" applyFill="1" applyBorder="1" applyAlignment="1">
      <alignment horizontal="justify" vertical="center" wrapText="1"/>
    </xf>
    <xf numFmtId="172" fontId="5" fillId="0" borderId="14" xfId="0" applyNumberFormat="1" applyFont="1" applyFill="1" applyBorder="1" applyAlignment="1" applyProtection="1">
      <alignment/>
      <protection/>
    </xf>
    <xf numFmtId="0" fontId="5" fillId="0" borderId="12" xfId="0" applyFont="1" applyFill="1" applyBorder="1" applyAlignment="1" applyProtection="1">
      <alignment horizontal="center"/>
      <protection/>
    </xf>
    <xf numFmtId="2" fontId="5" fillId="0" borderId="0" xfId="0" applyNumberFormat="1" applyFont="1" applyFill="1" applyBorder="1" applyAlignment="1" applyProtection="1">
      <alignment horizontal="right"/>
      <protection/>
    </xf>
    <xf numFmtId="1" fontId="9" fillId="7" borderId="0" xfId="0" applyNumberFormat="1" applyFont="1" applyFill="1" applyBorder="1" applyAlignment="1" applyProtection="1">
      <alignment/>
      <protection/>
    </xf>
    <xf numFmtId="2" fontId="5" fillId="0" borderId="21" xfId="0" applyNumberFormat="1" applyFont="1" applyFill="1" applyBorder="1" applyAlignment="1" applyProtection="1">
      <alignment horizontal="right"/>
      <protection/>
    </xf>
    <xf numFmtId="0" fontId="5" fillId="0" borderId="30" xfId="0" applyFont="1" applyFill="1" applyBorder="1" applyAlignment="1" applyProtection="1">
      <alignment horizontal="center"/>
      <protection/>
    </xf>
    <xf numFmtId="0" fontId="5" fillId="0" borderId="31" xfId="0" applyFont="1" applyFill="1" applyBorder="1" applyAlignment="1" applyProtection="1">
      <alignment/>
      <protection/>
    </xf>
    <xf numFmtId="172" fontId="5" fillId="0" borderId="32" xfId="0" applyNumberFormat="1" applyFont="1" applyFill="1" applyBorder="1" applyAlignment="1" applyProtection="1">
      <alignment/>
      <protection/>
    </xf>
    <xf numFmtId="0" fontId="5" fillId="0" borderId="31" xfId="0" applyFont="1" applyFill="1" applyBorder="1" applyAlignment="1" applyProtection="1">
      <alignment horizontal="right"/>
      <protection/>
    </xf>
    <xf numFmtId="0" fontId="5" fillId="2" borderId="33" xfId="0" applyFont="1" applyFill="1" applyBorder="1" applyAlignment="1" applyProtection="1">
      <alignment horizontal="center"/>
      <protection/>
    </xf>
    <xf numFmtId="0" fontId="5" fillId="2" borderId="31" xfId="0" applyFont="1" applyFill="1" applyBorder="1" applyAlignment="1" applyProtection="1">
      <alignment horizontal="center"/>
      <protection/>
    </xf>
    <xf numFmtId="0" fontId="5" fillId="3" borderId="31" xfId="0" applyFont="1" applyFill="1" applyBorder="1" applyAlignment="1" applyProtection="1">
      <alignment horizontal="right"/>
      <protection/>
    </xf>
    <xf numFmtId="2" fontId="5" fillId="0" borderId="34" xfId="0" applyNumberFormat="1" applyFont="1" applyFill="1" applyBorder="1" applyAlignment="1" applyProtection="1">
      <alignment horizontal="right"/>
      <protection/>
    </xf>
    <xf numFmtId="2" fontId="5" fillId="0" borderId="33" xfId="0" applyNumberFormat="1" applyFont="1" applyFill="1" applyBorder="1" applyAlignment="1" applyProtection="1">
      <alignment horizontal="right"/>
      <protection/>
    </xf>
    <xf numFmtId="1" fontId="1" fillId="0" borderId="0" xfId="0" applyNumberFormat="1" applyFont="1" applyFill="1" applyBorder="1" applyAlignment="1">
      <alignment horizontal="right"/>
    </xf>
    <xf numFmtId="0" fontId="5" fillId="0" borderId="35" xfId="0" applyFont="1" applyFill="1" applyBorder="1" applyAlignment="1" applyProtection="1">
      <alignment horizontal="center"/>
      <protection/>
    </xf>
    <xf numFmtId="0" fontId="5" fillId="0" borderId="17" xfId="0" applyFont="1" applyFill="1" applyBorder="1" applyAlignment="1" applyProtection="1">
      <alignment/>
      <protection/>
    </xf>
    <xf numFmtId="0" fontId="11" fillId="0" borderId="16" xfId="0" applyFont="1" applyFill="1" applyBorder="1" applyAlignment="1" applyProtection="1">
      <alignment/>
      <protection/>
    </xf>
    <xf numFmtId="0" fontId="5" fillId="3" borderId="17" xfId="0" applyFont="1" applyFill="1" applyBorder="1" applyAlignment="1" applyProtection="1">
      <alignment horizontal="right"/>
      <protection/>
    </xf>
    <xf numFmtId="2" fontId="5" fillId="3" borderId="0" xfId="0" applyNumberFormat="1" applyFont="1" applyFill="1" applyBorder="1" applyAlignment="1" applyProtection="1">
      <alignment horizontal="right"/>
      <protection/>
    </xf>
    <xf numFmtId="174" fontId="5" fillId="3" borderId="0" xfId="0" applyNumberFormat="1" applyFont="1" applyFill="1" applyBorder="1" applyAlignment="1" applyProtection="1">
      <alignment horizontal="right"/>
      <protection/>
    </xf>
    <xf numFmtId="0" fontId="5" fillId="0" borderId="11" xfId="0" applyFont="1" applyFill="1" applyBorder="1" applyAlignment="1" applyProtection="1">
      <alignment/>
      <protection/>
    </xf>
    <xf numFmtId="1" fontId="1"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lignment vertical="center"/>
    </xf>
    <xf numFmtId="2" fontId="6" fillId="0" borderId="0" xfId="0" applyNumberFormat="1" applyFont="1" applyFill="1" applyBorder="1" applyAlignment="1" applyProtection="1">
      <alignment vertical="center"/>
      <protection/>
    </xf>
    <xf numFmtId="0" fontId="2" fillId="0" borderId="0" xfId="0" applyFont="1" applyFill="1" applyBorder="1" applyAlignment="1">
      <alignment horizontal="center" vertical="center"/>
    </xf>
    <xf numFmtId="2" fontId="6" fillId="0" borderId="0" xfId="0" applyNumberFormat="1"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2" borderId="12"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protection/>
    </xf>
    <xf numFmtId="0" fontId="5" fillId="3" borderId="0" xfId="0" applyFont="1" applyFill="1" applyBorder="1" applyAlignment="1" applyProtection="1">
      <alignment horizontal="right" vertical="center"/>
      <protection/>
    </xf>
    <xf numFmtId="2" fontId="5" fillId="0" borderId="12" xfId="0" applyNumberFormat="1" applyFont="1" applyFill="1" applyBorder="1" applyAlignment="1" applyProtection="1">
      <alignment horizontal="right" vertical="center"/>
      <protection/>
    </xf>
    <xf numFmtId="1" fontId="1" fillId="8" borderId="0" xfId="0" applyNumberFormat="1"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8" fillId="0" borderId="14" xfId="0" applyFont="1" applyFill="1" applyBorder="1" applyAlignment="1" applyProtection="1">
      <alignment horizontal="left"/>
      <protection/>
    </xf>
    <xf numFmtId="1" fontId="1" fillId="4" borderId="0" xfId="0" applyNumberFormat="1" applyFont="1" applyFill="1" applyBorder="1" applyAlignment="1" applyProtection="1">
      <alignment vertical="center"/>
      <protection/>
    </xf>
    <xf numFmtId="1" fontId="1" fillId="5" borderId="0" xfId="0" applyNumberFormat="1" applyFont="1" applyFill="1" applyBorder="1" applyAlignment="1" applyProtection="1">
      <alignment vertical="center"/>
      <protection/>
    </xf>
    <xf numFmtId="1" fontId="1" fillId="6" borderId="0" xfId="0" applyNumberFormat="1" applyFont="1" applyFill="1" applyBorder="1" applyAlignment="1" applyProtection="1">
      <alignment vertical="center"/>
      <protection/>
    </xf>
    <xf numFmtId="1" fontId="1" fillId="7" borderId="0" xfId="0" applyNumberFormat="1" applyFont="1" applyFill="1" applyBorder="1" applyAlignment="1" applyProtection="1">
      <alignment vertical="center"/>
      <protection/>
    </xf>
    <xf numFmtId="0" fontId="5" fillId="0" borderId="2" xfId="0" applyFont="1" applyFill="1" applyBorder="1" applyAlignment="1" applyProtection="1">
      <alignment vertical="center"/>
      <protection/>
    </xf>
    <xf numFmtId="1" fontId="9" fillId="7" borderId="0" xfId="0" applyNumberFormat="1" applyFont="1" applyFill="1" applyBorder="1" applyAlignment="1" applyProtection="1">
      <alignment vertical="center"/>
      <protection/>
    </xf>
    <xf numFmtId="1" fontId="9" fillId="7" borderId="0" xfId="0" applyNumberFormat="1" applyFont="1" applyFill="1" applyBorder="1" applyAlignment="1" applyProtection="1">
      <alignment horizontal="center"/>
      <protection/>
    </xf>
    <xf numFmtId="0" fontId="5" fillId="0" borderId="33" xfId="0" applyFont="1" applyFill="1" applyBorder="1" applyAlignment="1" applyProtection="1">
      <alignment horizontal="center"/>
      <protection/>
    </xf>
    <xf numFmtId="0" fontId="5" fillId="0" borderId="31" xfId="0" applyFont="1" applyFill="1" applyBorder="1" applyAlignment="1" applyProtection="1">
      <alignment horizontal="center"/>
      <protection/>
    </xf>
    <xf numFmtId="1" fontId="1" fillId="0" borderId="0" xfId="0" applyNumberFormat="1" applyFont="1" applyFill="1" applyBorder="1" applyAlignment="1" applyProtection="1">
      <alignment horizontal="center"/>
      <protection/>
    </xf>
    <xf numFmtId="0" fontId="4" fillId="0" borderId="16" xfId="0" applyFont="1" applyFill="1" applyBorder="1" applyAlignment="1" applyProtection="1">
      <alignment horizontal="justify" vertical="center" wrapText="1"/>
      <protection/>
    </xf>
    <xf numFmtId="0" fontId="8" fillId="0" borderId="14" xfId="0" applyFont="1" applyFill="1" applyBorder="1" applyAlignment="1" applyProtection="1">
      <alignment vertical="center"/>
      <protection/>
    </xf>
    <xf numFmtId="2" fontId="2"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2" fontId="5" fillId="0" borderId="12" xfId="0" applyNumberFormat="1" applyFont="1" applyFill="1" applyBorder="1" applyAlignment="1" applyProtection="1">
      <alignment horizontal="center"/>
      <protection/>
    </xf>
    <xf numFmtId="0" fontId="2" fillId="0" borderId="14" xfId="0" applyFont="1" applyFill="1" applyBorder="1" applyAlignment="1">
      <alignment/>
    </xf>
    <xf numFmtId="0" fontId="12" fillId="0" borderId="13" xfId="0" applyFont="1" applyFill="1" applyBorder="1" applyAlignment="1">
      <alignment horizontal="center"/>
    </xf>
    <xf numFmtId="1" fontId="0" fillId="7" borderId="0" xfId="0" applyNumberFormat="1" applyFont="1" applyFill="1" applyBorder="1" applyAlignment="1">
      <alignment/>
    </xf>
    <xf numFmtId="0" fontId="2" fillId="2" borderId="0" xfId="0" applyFont="1" applyFill="1" applyBorder="1" applyAlignment="1">
      <alignment/>
    </xf>
    <xf numFmtId="0" fontId="2" fillId="3" borderId="0" xfId="0" applyFont="1" applyFill="1" applyBorder="1" applyAlignment="1">
      <alignment/>
    </xf>
    <xf numFmtId="0" fontId="2" fillId="0" borderId="12" xfId="0" applyFont="1" applyFill="1" applyBorder="1" applyAlignment="1">
      <alignment/>
    </xf>
    <xf numFmtId="1" fontId="9" fillId="8" borderId="0" xfId="0" applyNumberFormat="1" applyFont="1" applyFill="1" applyBorder="1" applyAlignment="1" applyProtection="1">
      <alignment horizontal="right"/>
      <protection/>
    </xf>
    <xf numFmtId="1" fontId="5" fillId="8" borderId="0" xfId="0" applyNumberFormat="1" applyFont="1" applyFill="1" applyBorder="1" applyAlignment="1" applyProtection="1">
      <alignment horizontal="right" vertical="center"/>
      <protection/>
    </xf>
    <xf numFmtId="1" fontId="5" fillId="8" borderId="0" xfId="0" applyNumberFormat="1" applyFont="1" applyFill="1" applyBorder="1" applyAlignment="1" applyProtection="1">
      <alignment horizontal="right"/>
      <protection/>
    </xf>
    <xf numFmtId="1" fontId="5" fillId="0" borderId="0" xfId="0" applyNumberFormat="1" applyFont="1" applyFill="1" applyBorder="1" applyAlignment="1" applyProtection="1">
      <alignment horizontal="right"/>
      <protection/>
    </xf>
    <xf numFmtId="0" fontId="2" fillId="0" borderId="0" xfId="0" applyFont="1" applyBorder="1" applyAlignment="1">
      <alignment/>
    </xf>
    <xf numFmtId="0" fontId="5" fillId="0" borderId="0" xfId="0" applyFont="1" applyFill="1" applyBorder="1" applyAlignment="1" applyProtection="1">
      <alignment/>
      <protection/>
    </xf>
    <xf numFmtId="10" fontId="5" fillId="3" borderId="0" xfId="0" applyNumberFormat="1" applyFont="1" applyFill="1" applyBorder="1" applyAlignment="1" applyProtection="1">
      <alignment horizontal="right"/>
      <protection/>
    </xf>
    <xf numFmtId="2" fontId="5" fillId="0" borderId="1" xfId="0" applyNumberFormat="1" applyFont="1" applyFill="1" applyBorder="1" applyAlignment="1" applyProtection="1">
      <alignment horizontal="right"/>
      <protection/>
    </xf>
    <xf numFmtId="2" fontId="5" fillId="0" borderId="12" xfId="0" applyNumberFormat="1" applyFont="1" applyFill="1" applyBorder="1" applyAlignment="1" applyProtection="1">
      <alignment horizontal="right"/>
      <protection/>
    </xf>
    <xf numFmtId="1" fontId="1" fillId="0" borderId="0" xfId="0" applyNumberFormat="1" applyFont="1" applyFill="1" applyBorder="1" applyAlignment="1" applyProtection="1">
      <alignment/>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vertical="center"/>
      <protection/>
    </xf>
    <xf numFmtId="172" fontId="5" fillId="0" borderId="9" xfId="0" applyNumberFormat="1" applyFont="1" applyFill="1" applyBorder="1" applyAlignment="1" applyProtection="1">
      <alignment horizontal="right"/>
      <protection/>
    </xf>
    <xf numFmtId="2" fontId="5" fillId="0" borderId="9" xfId="0" applyNumberFormat="1" applyFont="1" applyBorder="1" applyAlignment="1" applyProtection="1">
      <alignment/>
      <protection/>
    </xf>
    <xf numFmtId="10" fontId="5" fillId="0" borderId="9" xfId="0" applyNumberFormat="1" applyFont="1" applyBorder="1" applyAlignment="1" applyProtection="1">
      <alignment horizontal="left"/>
      <protection/>
    </xf>
    <xf numFmtId="0" fontId="5" fillId="0" borderId="9" xfId="0" applyFont="1" applyFill="1" applyBorder="1" applyAlignment="1" applyProtection="1">
      <alignment horizontal="right" vertical="center"/>
      <protection/>
    </xf>
    <xf numFmtId="0" fontId="5" fillId="2" borderId="9" xfId="0" applyFont="1" applyFill="1" applyBorder="1" applyAlignment="1" applyProtection="1">
      <alignment horizontal="center" vertical="center"/>
      <protection/>
    </xf>
    <xf numFmtId="0" fontId="2" fillId="0" borderId="9" xfId="0" applyFont="1" applyBorder="1" applyAlignment="1">
      <alignment/>
    </xf>
    <xf numFmtId="176" fontId="5" fillId="3" borderId="9" xfId="0" applyNumberFormat="1" applyFont="1" applyFill="1" applyBorder="1" applyAlignment="1" applyProtection="1">
      <alignment horizontal="left"/>
      <protection/>
    </xf>
    <xf numFmtId="0" fontId="5" fillId="3" borderId="9" xfId="0" applyFont="1" applyFill="1" applyBorder="1" applyAlignment="1" applyProtection="1">
      <alignment horizontal="right" vertical="center"/>
      <protection/>
    </xf>
    <xf numFmtId="2" fontId="5" fillId="0" borderId="9" xfId="0" applyNumberFormat="1" applyFont="1" applyFill="1" applyBorder="1" applyAlignment="1" applyProtection="1">
      <alignment horizontal="right" vertical="center"/>
      <protection/>
    </xf>
    <xf numFmtId="2" fontId="5" fillId="0" borderId="9" xfId="0" applyNumberFormat="1" applyFont="1" applyFill="1" applyBorder="1" applyAlignment="1" applyProtection="1">
      <alignment horizontal="center" vertical="center"/>
      <protection/>
    </xf>
    <xf numFmtId="2" fontId="5" fillId="0" borderId="9" xfId="0" applyNumberFormat="1" applyFont="1" applyFill="1" applyBorder="1" applyAlignment="1" applyProtection="1">
      <alignment horizontal="right"/>
      <protection/>
    </xf>
    <xf numFmtId="2" fontId="5" fillId="4" borderId="9" xfId="0" applyNumberFormat="1" applyFont="1" applyFill="1" applyBorder="1" applyAlignment="1" applyProtection="1">
      <alignment horizontal="right" vertical="center"/>
      <protection/>
    </xf>
    <xf numFmtId="2" fontId="5" fillId="5" borderId="9" xfId="0" applyNumberFormat="1" applyFont="1" applyFill="1" applyBorder="1" applyAlignment="1" applyProtection="1">
      <alignment horizontal="right" vertical="center"/>
      <protection/>
    </xf>
    <xf numFmtId="1" fontId="5" fillId="6" borderId="9" xfId="0" applyNumberFormat="1" applyFont="1" applyFill="1" applyBorder="1" applyAlignment="1" applyProtection="1">
      <alignment horizontal="right" vertical="center"/>
      <protection/>
    </xf>
    <xf numFmtId="1" fontId="5" fillId="7" borderId="9" xfId="0" applyNumberFormat="1" applyFont="1" applyFill="1" applyBorder="1" applyAlignment="1" applyProtection="1">
      <alignment horizontal="right" vertical="center"/>
      <protection/>
    </xf>
    <xf numFmtId="1" fontId="1" fillId="8" borderId="9" xfId="0" applyNumberFormat="1" applyFont="1" applyFill="1" applyBorder="1" applyAlignment="1">
      <alignment vertical="top"/>
    </xf>
    <xf numFmtId="1" fontId="1" fillId="8" borderId="9" xfId="0" applyNumberFormat="1" applyFont="1" applyFill="1" applyBorder="1" applyAlignment="1" applyProtection="1">
      <alignment horizontal="right" vertical="top"/>
      <protection/>
    </xf>
    <xf numFmtId="1" fontId="1" fillId="8" borderId="9" xfId="0" applyNumberFormat="1" applyFont="1" applyFill="1" applyBorder="1" applyAlignment="1">
      <alignment/>
    </xf>
    <xf numFmtId="1" fontId="1" fillId="0" borderId="9" xfId="0" applyNumberFormat="1" applyFont="1" applyFill="1" applyBorder="1" applyAlignment="1" applyProtection="1">
      <alignment horizontal="right"/>
      <protection/>
    </xf>
    <xf numFmtId="2" fontId="2" fillId="0" borderId="9" xfId="0" applyNumberFormat="1" applyFont="1" applyFill="1" applyBorder="1" applyAlignment="1" applyProtection="1">
      <alignment/>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protection/>
    </xf>
    <xf numFmtId="0" fontId="2" fillId="0" borderId="9" xfId="0" applyFont="1" applyFill="1" applyBorder="1" applyAlignment="1" applyProtection="1">
      <alignment vertical="center"/>
      <protection/>
    </xf>
    <xf numFmtId="0" fontId="2" fillId="0" borderId="9" xfId="0" applyFont="1" applyFill="1" applyBorder="1" applyAlignment="1" applyProtection="1">
      <alignment/>
      <protection/>
    </xf>
    <xf numFmtId="0" fontId="2" fillId="0" borderId="9" xfId="0" applyFont="1" applyFill="1" applyBorder="1" applyAlignment="1">
      <alignment/>
    </xf>
    <xf numFmtId="0" fontId="0" fillId="0" borderId="9" xfId="0" applyFont="1" applyFill="1" applyBorder="1" applyAlignment="1">
      <alignment/>
    </xf>
    <xf numFmtId="0" fontId="0" fillId="0" borderId="9" xfId="0" applyFont="1" applyBorder="1" applyAlignment="1">
      <alignment/>
    </xf>
    <xf numFmtId="0" fontId="2" fillId="0" borderId="17" xfId="0" applyFont="1" applyFill="1" applyBorder="1" applyAlignment="1">
      <alignment/>
    </xf>
    <xf numFmtId="0" fontId="5" fillId="0" borderId="16" xfId="0" applyFont="1" applyFill="1" applyBorder="1" applyAlignment="1" applyProtection="1">
      <alignment/>
      <protection/>
    </xf>
    <xf numFmtId="0" fontId="2" fillId="2" borderId="7" xfId="0" applyFont="1" applyFill="1" applyBorder="1" applyAlignment="1">
      <alignment/>
    </xf>
    <xf numFmtId="0" fontId="2" fillId="2" borderId="6" xfId="0" applyFont="1" applyFill="1" applyBorder="1" applyAlignment="1">
      <alignment/>
    </xf>
    <xf numFmtId="0" fontId="2" fillId="3" borderId="17" xfId="0" applyFont="1" applyFill="1" applyBorder="1" applyAlignment="1">
      <alignment/>
    </xf>
    <xf numFmtId="0" fontId="2" fillId="0" borderId="7" xfId="0" applyFont="1" applyFill="1" applyBorder="1" applyAlignment="1">
      <alignment/>
    </xf>
    <xf numFmtId="2" fontId="13" fillId="0" borderId="2" xfId="0" applyNumberFormat="1" applyFont="1" applyFill="1" applyBorder="1" applyAlignment="1" applyProtection="1">
      <alignment/>
      <protection/>
    </xf>
    <xf numFmtId="1" fontId="1" fillId="8" borderId="0" xfId="0" applyNumberFormat="1" applyFont="1" applyFill="1" applyBorder="1" applyAlignment="1">
      <alignment vertical="top"/>
    </xf>
    <xf numFmtId="1" fontId="1" fillId="8" borderId="0" xfId="0" applyNumberFormat="1" applyFont="1" applyFill="1" applyBorder="1" applyAlignment="1" applyProtection="1">
      <alignment horizontal="right" vertical="top"/>
      <protection/>
    </xf>
    <xf numFmtId="0" fontId="5" fillId="0" borderId="13" xfId="0" applyFont="1" applyFill="1" applyBorder="1" applyAlignment="1" applyProtection="1">
      <alignment horizontal="center" vertical="top"/>
      <protection/>
    </xf>
    <xf numFmtId="0" fontId="5" fillId="0" borderId="0" xfId="0" applyFont="1" applyFill="1" applyBorder="1" applyAlignment="1" applyProtection="1">
      <alignment vertical="top"/>
      <protection/>
    </xf>
    <xf numFmtId="0" fontId="5" fillId="2" borderId="12" xfId="0" applyFont="1" applyFill="1" applyBorder="1" applyAlignment="1" applyProtection="1">
      <alignment horizontal="center" vertical="top"/>
      <protection/>
    </xf>
    <xf numFmtId="0" fontId="5" fillId="2" borderId="0" xfId="0" applyFont="1" applyFill="1" applyBorder="1" applyAlignment="1" applyProtection="1">
      <alignment horizontal="center" vertical="top"/>
      <protection/>
    </xf>
    <xf numFmtId="2" fontId="5" fillId="3" borderId="0" xfId="0" applyNumberFormat="1" applyFont="1" applyFill="1" applyBorder="1" applyAlignment="1" applyProtection="1">
      <alignment horizontal="right" vertical="top"/>
      <protection/>
    </xf>
    <xf numFmtId="0" fontId="5" fillId="3" borderId="0" xfId="0" applyFont="1" applyFill="1" applyBorder="1" applyAlignment="1" applyProtection="1">
      <alignment horizontal="right" vertical="top"/>
      <protection/>
    </xf>
    <xf numFmtId="2" fontId="5" fillId="0" borderId="12" xfId="0" applyNumberFormat="1" applyFont="1" applyFill="1" applyBorder="1" applyAlignment="1" applyProtection="1">
      <alignment horizontal="right" vertical="top"/>
      <protection/>
    </xf>
    <xf numFmtId="0" fontId="2" fillId="0" borderId="2" xfId="0" applyFont="1" applyFill="1" applyBorder="1" applyAlignment="1">
      <alignment/>
    </xf>
    <xf numFmtId="1" fontId="1" fillId="4" borderId="0" xfId="0" applyNumberFormat="1" applyFont="1" applyFill="1" applyBorder="1" applyAlignment="1" applyProtection="1">
      <alignment horizontal="right" vertical="top"/>
      <protection/>
    </xf>
    <xf numFmtId="1" fontId="1" fillId="5" borderId="0" xfId="0" applyNumberFormat="1" applyFont="1" applyFill="1" applyBorder="1" applyAlignment="1" applyProtection="1">
      <alignment horizontal="right" vertical="top"/>
      <protection/>
    </xf>
    <xf numFmtId="1" fontId="1" fillId="6" borderId="0" xfId="0" applyNumberFormat="1" applyFont="1" applyFill="1" applyBorder="1" applyAlignment="1" applyProtection="1">
      <alignment horizontal="right" vertical="top"/>
      <protection/>
    </xf>
    <xf numFmtId="1" fontId="9" fillId="7" borderId="0" xfId="0" applyNumberFormat="1" applyFont="1" applyFill="1" applyBorder="1" applyAlignment="1" applyProtection="1">
      <alignment horizontal="right" vertical="top"/>
      <protection/>
    </xf>
    <xf numFmtId="0" fontId="5" fillId="0" borderId="0" xfId="0" applyFont="1" applyFill="1" applyBorder="1" applyAlignment="1" applyProtection="1">
      <alignment horizontal="left" vertical="top"/>
      <protection/>
    </xf>
    <xf numFmtId="0" fontId="5" fillId="0" borderId="14" xfId="0" applyFont="1" applyFill="1" applyBorder="1" applyAlignment="1" applyProtection="1">
      <alignment horizontal="justify" vertical="top" wrapText="1"/>
      <protection/>
    </xf>
    <xf numFmtId="1" fontId="1" fillId="6" borderId="0" xfId="0" applyNumberFormat="1" applyFont="1" applyFill="1" applyBorder="1" applyAlignment="1">
      <alignment vertical="top"/>
    </xf>
    <xf numFmtId="1" fontId="9" fillId="7" borderId="0" xfId="0" applyNumberFormat="1" applyFont="1" applyFill="1" applyBorder="1" applyAlignment="1">
      <alignment vertical="top"/>
    </xf>
    <xf numFmtId="0" fontId="5" fillId="0" borderId="13" xfId="0" applyFont="1" applyFill="1" applyBorder="1" applyAlignment="1">
      <alignment horizontal="center"/>
    </xf>
    <xf numFmtId="0" fontId="5" fillId="0" borderId="0" xfId="0" applyFont="1" applyFill="1" applyBorder="1" applyAlignment="1">
      <alignment/>
    </xf>
    <xf numFmtId="0" fontId="1" fillId="4" borderId="0" xfId="0" applyFont="1" applyFill="1" applyBorder="1" applyAlignment="1">
      <alignment/>
    </xf>
    <xf numFmtId="0" fontId="1" fillId="5" borderId="0" xfId="0" applyFont="1" applyFill="1" applyBorder="1" applyAlignment="1">
      <alignment/>
    </xf>
    <xf numFmtId="1" fontId="9" fillId="7" borderId="0" xfId="0" applyNumberFormat="1" applyFont="1" applyFill="1" applyBorder="1" applyAlignment="1">
      <alignment/>
    </xf>
    <xf numFmtId="2" fontId="5" fillId="0" borderId="2" xfId="0" applyNumberFormat="1" applyFont="1" applyFill="1" applyBorder="1" applyAlignment="1" applyProtection="1">
      <alignment horizontal="right" vertical="center"/>
      <protection/>
    </xf>
    <xf numFmtId="1" fontId="1" fillId="4" borderId="0" xfId="0" applyNumberFormat="1" applyFont="1" applyFill="1" applyBorder="1" applyAlignment="1">
      <alignment/>
    </xf>
    <xf numFmtId="1" fontId="1" fillId="5" borderId="0" xfId="0" applyNumberFormat="1" applyFont="1" applyFill="1" applyBorder="1" applyAlignment="1">
      <alignment/>
    </xf>
    <xf numFmtId="0" fontId="2" fillId="0" borderId="13" xfId="0" applyFont="1" applyFill="1" applyBorder="1" applyAlignment="1">
      <alignment/>
    </xf>
    <xf numFmtId="2" fontId="5" fillId="3" borderId="0" xfId="0" applyNumberFormat="1" applyFont="1" applyFill="1" applyBorder="1" applyAlignment="1" applyProtection="1">
      <alignment horizontal="right" vertical="center"/>
      <protection/>
    </xf>
    <xf numFmtId="1" fontId="1" fillId="8" borderId="0" xfId="0" applyNumberFormat="1" applyFont="1" applyFill="1" applyBorder="1" applyAlignment="1" applyProtection="1">
      <alignment horizontal="right" vertical="center"/>
      <protection/>
    </xf>
    <xf numFmtId="1" fontId="9" fillId="8" borderId="0" xfId="0" applyNumberFormat="1" applyFont="1" applyFill="1" applyBorder="1" applyAlignment="1" applyProtection="1">
      <alignment horizontal="right" vertical="center"/>
      <protection/>
    </xf>
    <xf numFmtId="1" fontId="1" fillId="4" borderId="0" xfId="0" applyNumberFormat="1" applyFont="1" applyFill="1" applyBorder="1" applyAlignment="1" applyProtection="1">
      <alignment horizontal="right" vertical="center"/>
      <protection/>
    </xf>
    <xf numFmtId="1" fontId="1" fillId="5" borderId="0" xfId="0" applyNumberFormat="1" applyFont="1" applyFill="1" applyBorder="1" applyAlignment="1" applyProtection="1">
      <alignment horizontal="right" vertical="center"/>
      <protection/>
    </xf>
    <xf numFmtId="1" fontId="1" fillId="6" borderId="0" xfId="0" applyNumberFormat="1" applyFont="1" applyFill="1" applyBorder="1" applyAlignment="1" applyProtection="1">
      <alignment horizontal="right" vertical="center"/>
      <protection/>
    </xf>
    <xf numFmtId="1" fontId="9" fillId="7" borderId="0" xfId="0" applyNumberFormat="1" applyFont="1" applyFill="1" applyBorder="1" applyAlignment="1" applyProtection="1">
      <alignment horizontal="right" vertical="center"/>
      <protection/>
    </xf>
    <xf numFmtId="1" fontId="1" fillId="8" borderId="0" xfId="0" applyNumberFormat="1" applyFont="1" applyFill="1" applyBorder="1" applyAlignment="1">
      <alignment vertical="center"/>
    </xf>
    <xf numFmtId="1" fontId="1" fillId="7" borderId="0" xfId="0" applyNumberFormat="1" applyFont="1" applyFill="1" applyBorder="1" applyAlignment="1" applyProtection="1">
      <alignment horizontal="right" vertical="center"/>
      <protection/>
    </xf>
    <xf numFmtId="0" fontId="8" fillId="0" borderId="13" xfId="0" applyFont="1" applyFill="1" applyBorder="1" applyAlignment="1" applyProtection="1">
      <alignment horizontal="center"/>
      <protection/>
    </xf>
    <xf numFmtId="0" fontId="11" fillId="0" borderId="0" xfId="0" applyFont="1" applyFill="1" applyBorder="1" applyAlignment="1" applyProtection="1">
      <alignment/>
      <protection/>
    </xf>
    <xf numFmtId="172" fontId="11" fillId="0" borderId="14" xfId="0" applyNumberFormat="1" applyFont="1" applyFill="1" applyBorder="1" applyAlignment="1" applyProtection="1">
      <alignment horizontal="right"/>
      <protection/>
    </xf>
    <xf numFmtId="172" fontId="11" fillId="2" borderId="0" xfId="0" applyNumberFormat="1" applyFont="1" applyFill="1" applyBorder="1" applyAlignment="1" applyProtection="1">
      <alignment/>
      <protection/>
    </xf>
    <xf numFmtId="2" fontId="11" fillId="2" borderId="0" xfId="0" applyNumberFormat="1" applyFont="1" applyFill="1" applyBorder="1" applyAlignment="1" applyProtection="1">
      <alignment horizontal="right"/>
      <protection/>
    </xf>
    <xf numFmtId="176" fontId="11" fillId="3" borderId="0" xfId="0" applyNumberFormat="1" applyFont="1" applyFill="1" applyBorder="1" applyAlignment="1" applyProtection="1">
      <alignment horizontal="left"/>
      <protection/>
    </xf>
    <xf numFmtId="0" fontId="11" fillId="3" borderId="0" xfId="0" applyFont="1" applyFill="1" applyBorder="1" applyAlignment="1" applyProtection="1">
      <alignment/>
      <protection/>
    </xf>
    <xf numFmtId="1" fontId="0" fillId="6" borderId="0" xfId="0" applyNumberFormat="1" applyFont="1" applyFill="1" applyBorder="1" applyAlignment="1">
      <alignment/>
    </xf>
    <xf numFmtId="1" fontId="15" fillId="8" borderId="0" xfId="0" applyNumberFormat="1" applyFont="1" applyFill="1" applyBorder="1" applyAlignment="1" applyProtection="1">
      <alignment/>
      <protection/>
    </xf>
    <xf numFmtId="1" fontId="15" fillId="0" borderId="0" xfId="0" applyNumberFormat="1" applyFont="1" applyFill="1" applyBorder="1" applyAlignment="1" applyProtection="1">
      <alignment horizontal="right"/>
      <protection/>
    </xf>
    <xf numFmtId="0" fontId="14" fillId="0" borderId="0" xfId="0" applyFont="1" applyFill="1" applyBorder="1" applyAlignment="1">
      <alignment horizontal="center"/>
    </xf>
    <xf numFmtId="0" fontId="14" fillId="0" borderId="0" xfId="0" applyFont="1" applyFill="1" applyBorder="1" applyAlignment="1">
      <alignment/>
    </xf>
    <xf numFmtId="0" fontId="14" fillId="0" borderId="0" xfId="0" applyFont="1" applyFill="1" applyBorder="1" applyAlignment="1" applyProtection="1">
      <alignment/>
      <protection/>
    </xf>
    <xf numFmtId="0" fontId="16" fillId="0" borderId="0" xfId="0" applyFont="1" applyFill="1" applyBorder="1" applyAlignment="1">
      <alignment horizontal="center"/>
    </xf>
    <xf numFmtId="0" fontId="16" fillId="0" borderId="0" xfId="0" applyFont="1" applyFill="1" applyBorder="1" applyAlignment="1">
      <alignment/>
    </xf>
    <xf numFmtId="0" fontId="16" fillId="0" borderId="0" xfId="0" applyFont="1" applyFill="1" applyBorder="1" applyAlignment="1" applyProtection="1">
      <alignment/>
      <protection/>
    </xf>
    <xf numFmtId="172" fontId="11" fillId="0" borderId="2" xfId="0" applyNumberFormat="1" applyFont="1" applyFill="1" applyBorder="1" applyAlignment="1" applyProtection="1">
      <alignment/>
      <protection/>
    </xf>
    <xf numFmtId="1" fontId="5" fillId="8" borderId="0" xfId="0" applyNumberFormat="1" applyFont="1" applyFill="1" applyBorder="1" applyAlignment="1" applyProtection="1">
      <alignment/>
      <protection/>
    </xf>
    <xf numFmtId="0" fontId="5" fillId="0" borderId="32" xfId="0" applyFont="1" applyFill="1" applyBorder="1" applyAlignment="1" applyProtection="1">
      <alignment/>
      <protection/>
    </xf>
    <xf numFmtId="2" fontId="5" fillId="3" borderId="31" xfId="0" applyNumberFormat="1" applyFont="1" applyFill="1" applyBorder="1" applyAlignment="1" applyProtection="1">
      <alignment horizontal="right"/>
      <protection/>
    </xf>
    <xf numFmtId="2" fontId="5" fillId="0" borderId="36" xfId="0" applyNumberFormat="1" applyFont="1" applyFill="1" applyBorder="1" applyAlignment="1" applyProtection="1">
      <alignment horizontal="right"/>
      <protection/>
    </xf>
    <xf numFmtId="0" fontId="5" fillId="0" borderId="0" xfId="0" applyFont="1" applyFill="1" applyBorder="1" applyAlignment="1" applyProtection="1">
      <alignment horizontal="center" vertical="center"/>
      <protection/>
    </xf>
    <xf numFmtId="176" fontId="5" fillId="3" borderId="0" xfId="0" applyNumberFormat="1" applyFont="1" applyFill="1" applyBorder="1" applyAlignment="1" applyProtection="1">
      <alignment horizontal="left"/>
      <protection/>
    </xf>
    <xf numFmtId="2" fontId="5" fillId="0" borderId="0" xfId="0" applyNumberFormat="1" applyFont="1" applyFill="1" applyBorder="1" applyAlignment="1" applyProtection="1">
      <alignment horizontal="right" vertical="center"/>
      <protection/>
    </xf>
    <xf numFmtId="2" fontId="5" fillId="0" borderId="0" xfId="0" applyNumberFormat="1" applyFont="1" applyFill="1" applyBorder="1" applyAlignment="1" applyProtection="1">
      <alignment horizontal="center" vertical="center"/>
      <protection/>
    </xf>
    <xf numFmtId="2" fontId="5" fillId="4" borderId="0" xfId="0" applyNumberFormat="1" applyFont="1" applyFill="1" applyBorder="1" applyAlignment="1" applyProtection="1">
      <alignment horizontal="right" vertical="center"/>
      <protection/>
    </xf>
    <xf numFmtId="2" fontId="5" fillId="5" borderId="0" xfId="0" applyNumberFormat="1" applyFont="1" applyFill="1" applyBorder="1" applyAlignment="1" applyProtection="1">
      <alignment horizontal="right" vertical="center"/>
      <protection/>
    </xf>
    <xf numFmtId="1" fontId="5" fillId="6" borderId="0" xfId="0" applyNumberFormat="1" applyFont="1" applyFill="1" applyBorder="1" applyAlignment="1" applyProtection="1">
      <alignment horizontal="right" vertical="center"/>
      <protection/>
    </xf>
    <xf numFmtId="1" fontId="5" fillId="7" borderId="0" xfId="0" applyNumberFormat="1" applyFont="1" applyFill="1" applyBorder="1" applyAlignment="1" applyProtection="1">
      <alignment horizontal="right" vertical="center"/>
      <protection/>
    </xf>
    <xf numFmtId="0" fontId="17" fillId="0" borderId="0" xfId="0" applyFont="1" applyFill="1" applyBorder="1" applyAlignment="1">
      <alignment horizontal="right"/>
    </xf>
    <xf numFmtId="10" fontId="2" fillId="0" borderId="0" xfId="0" applyNumberFormat="1" applyFont="1" applyBorder="1" applyAlignment="1">
      <alignment horizontal="right"/>
    </xf>
    <xf numFmtId="0" fontId="13" fillId="0" borderId="0" xfId="0" applyFont="1" applyBorder="1" applyAlignment="1" applyProtection="1">
      <alignment/>
      <protection/>
    </xf>
    <xf numFmtId="172" fontId="13" fillId="2" borderId="0" xfId="0" applyNumberFormat="1" applyFont="1" applyFill="1" applyBorder="1" applyAlignment="1" applyProtection="1">
      <alignment/>
      <protection/>
    </xf>
    <xf numFmtId="2" fontId="13" fillId="2" borderId="0" xfId="0" applyNumberFormat="1" applyFont="1" applyFill="1" applyBorder="1" applyAlignment="1" applyProtection="1">
      <alignment horizontal="right"/>
      <protection/>
    </xf>
    <xf numFmtId="0" fontId="13" fillId="3" borderId="0" xfId="0" applyFont="1" applyFill="1" applyBorder="1" applyAlignment="1" applyProtection="1">
      <alignment/>
      <protection/>
    </xf>
    <xf numFmtId="2" fontId="13" fillId="0" borderId="0" xfId="0" applyNumberFormat="1" applyFont="1" applyFill="1" applyBorder="1" applyAlignment="1" applyProtection="1">
      <alignment horizontal="left"/>
      <protection/>
    </xf>
    <xf numFmtId="2" fontId="5" fillId="0" borderId="0" xfId="0" applyNumberFormat="1" applyFont="1" applyFill="1" applyBorder="1" applyAlignment="1" applyProtection="1">
      <alignment/>
      <protection/>
    </xf>
    <xf numFmtId="2" fontId="5" fillId="4" borderId="0" xfId="0" applyNumberFormat="1" applyFont="1" applyFill="1" applyBorder="1" applyAlignment="1" applyProtection="1">
      <alignment/>
      <protection/>
    </xf>
    <xf numFmtId="2" fontId="5" fillId="5" borderId="0" xfId="0" applyNumberFormat="1" applyFont="1" applyFill="1" applyBorder="1" applyAlignment="1" applyProtection="1">
      <alignment/>
      <protection/>
    </xf>
    <xf numFmtId="172" fontId="5" fillId="0" borderId="16" xfId="0" applyNumberFormat="1" applyFont="1" applyFill="1" applyBorder="1" applyAlignment="1" applyProtection="1">
      <alignment/>
      <protection/>
    </xf>
    <xf numFmtId="2" fontId="5" fillId="0" borderId="2" xfId="0" applyNumberFormat="1" applyFont="1" applyFill="1" applyBorder="1" applyAlignment="1" applyProtection="1">
      <alignment/>
      <protection/>
    </xf>
    <xf numFmtId="172" fontId="5" fillId="0" borderId="13" xfId="0" applyNumberFormat="1" applyFont="1" applyFill="1" applyBorder="1" applyAlignment="1" applyProtection="1">
      <alignment horizontal="center"/>
      <protection/>
    </xf>
    <xf numFmtId="172" fontId="5" fillId="2" borderId="12" xfId="0" applyNumberFormat="1" applyFont="1" applyFill="1" applyBorder="1" applyAlignment="1" applyProtection="1">
      <alignment/>
      <protection/>
    </xf>
    <xf numFmtId="2" fontId="5" fillId="2" borderId="0" xfId="0" applyNumberFormat="1" applyFont="1" applyFill="1" applyBorder="1" applyAlignment="1" applyProtection="1">
      <alignment horizontal="right"/>
      <protection/>
    </xf>
    <xf numFmtId="0" fontId="5" fillId="3" borderId="0" xfId="0" applyFont="1" applyFill="1" applyBorder="1" applyAlignment="1" applyProtection="1">
      <alignment/>
      <protection/>
    </xf>
    <xf numFmtId="49" fontId="4" fillId="0" borderId="14" xfId="0" applyNumberFormat="1" applyFont="1" applyFill="1" applyBorder="1" applyAlignment="1">
      <alignment horizontal="left"/>
    </xf>
    <xf numFmtId="0" fontId="5" fillId="2" borderId="1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8" fillId="0" borderId="14" xfId="0" applyFont="1" applyFill="1" applyBorder="1" applyAlignment="1" applyProtection="1">
      <alignment horizontal="left" vertical="center"/>
      <protection/>
    </xf>
    <xf numFmtId="0" fontId="5" fillId="2" borderId="12" xfId="0" applyFont="1" applyFill="1" applyBorder="1" applyAlignment="1" applyProtection="1">
      <alignment/>
      <protection/>
    </xf>
    <xf numFmtId="0" fontId="5" fillId="2" borderId="0" xfId="0" applyFont="1" applyFill="1" applyBorder="1" applyAlignment="1" applyProtection="1">
      <alignment/>
      <protection/>
    </xf>
    <xf numFmtId="0" fontId="5" fillId="0" borderId="0" xfId="0" applyFont="1" applyFill="1" applyBorder="1" applyAlignment="1">
      <alignment horizontal="center"/>
    </xf>
    <xf numFmtId="2" fontId="5" fillId="0" borderId="0" xfId="0" applyNumberFormat="1" applyFont="1" applyFill="1" applyBorder="1" applyAlignment="1" applyProtection="1">
      <alignment horizontal="center"/>
      <protection/>
    </xf>
    <xf numFmtId="0" fontId="5" fillId="0" borderId="12" xfId="0" applyFont="1" applyFill="1" applyBorder="1" applyAlignment="1" applyProtection="1">
      <alignment/>
      <protection/>
    </xf>
    <xf numFmtId="0" fontId="5" fillId="0" borderId="32" xfId="0" applyFont="1" applyFill="1" applyBorder="1" applyAlignment="1" applyProtection="1">
      <alignment horizontal="left"/>
      <protection/>
    </xf>
    <xf numFmtId="0" fontId="5" fillId="2" borderId="31" xfId="0" applyFont="1" applyFill="1" applyBorder="1" applyAlignment="1" applyProtection="1">
      <alignment/>
      <protection/>
    </xf>
    <xf numFmtId="0" fontId="8" fillId="0" borderId="16" xfId="0" applyFont="1" applyFill="1" applyBorder="1" applyAlignment="1" applyProtection="1">
      <alignment horizontal="left" vertical="center"/>
      <protection/>
    </xf>
    <xf numFmtId="0" fontId="5" fillId="2" borderId="17" xfId="0" applyFont="1" applyFill="1" applyBorder="1" applyAlignment="1" applyProtection="1">
      <alignment/>
      <protection/>
    </xf>
    <xf numFmtId="2" fontId="5" fillId="3" borderId="17" xfId="0" applyNumberFormat="1" applyFont="1" applyFill="1" applyBorder="1" applyAlignment="1" applyProtection="1">
      <alignment horizontal="right"/>
      <protection/>
    </xf>
    <xf numFmtId="0" fontId="5" fillId="0" borderId="14" xfId="0" applyFont="1" applyFill="1" applyBorder="1" applyAlignment="1" applyProtection="1">
      <alignment horizontal="left" vertical="center"/>
      <protection/>
    </xf>
    <xf numFmtId="0" fontId="2" fillId="2" borderId="12" xfId="0" applyFont="1" applyFill="1" applyBorder="1" applyAlignment="1">
      <alignment/>
    </xf>
    <xf numFmtId="0" fontId="2" fillId="2" borderId="11" xfId="0" applyFont="1" applyFill="1" applyBorder="1" applyAlignment="1">
      <alignment/>
    </xf>
    <xf numFmtId="2" fontId="5" fillId="3" borderId="0" xfId="0" applyNumberFormat="1" applyFont="1" applyFill="1" applyBorder="1" applyAlignment="1" applyProtection="1">
      <alignment horizontal="right" vertical="center"/>
      <protection/>
    </xf>
    <xf numFmtId="0" fontId="2" fillId="0" borderId="2" xfId="0" applyFont="1" applyFill="1" applyBorder="1" applyAlignment="1">
      <alignment vertical="center"/>
    </xf>
    <xf numFmtId="1" fontId="2" fillId="0" borderId="0" xfId="0" applyNumberFormat="1" applyFont="1" applyFill="1" applyBorder="1" applyAlignment="1" applyProtection="1">
      <alignment horizontal="center"/>
      <protection/>
    </xf>
    <xf numFmtId="174" fontId="5" fillId="0" borderId="0" xfId="0" applyNumberFormat="1" applyFont="1" applyFill="1" applyBorder="1" applyAlignment="1" applyProtection="1">
      <alignment horizontal="right"/>
      <protection/>
    </xf>
    <xf numFmtId="1" fontId="1" fillId="8" borderId="0" xfId="0" applyNumberFormat="1" applyFont="1" applyFill="1" applyBorder="1" applyAlignment="1" applyProtection="1">
      <alignment vertical="top"/>
      <protection/>
    </xf>
    <xf numFmtId="1" fontId="1" fillId="0" borderId="0" xfId="0" applyNumberFormat="1" applyFont="1" applyFill="1" applyBorder="1" applyAlignment="1" applyProtection="1">
      <alignment horizontal="right" vertical="top"/>
      <protection/>
    </xf>
    <xf numFmtId="2" fontId="2" fillId="0" borderId="0" xfId="0" applyNumberFormat="1" applyFont="1" applyFill="1" applyBorder="1" applyAlignment="1" applyProtection="1">
      <alignment vertical="top"/>
      <protection/>
    </xf>
    <xf numFmtId="0" fontId="2" fillId="0" borderId="0" xfId="0" applyFont="1" applyFill="1" applyBorder="1" applyAlignment="1" applyProtection="1">
      <alignment horizontal="center" vertical="top"/>
      <protection/>
    </xf>
    <xf numFmtId="0" fontId="2" fillId="0" borderId="0" xfId="0" applyFont="1" applyFill="1" applyBorder="1" applyAlignment="1" applyProtection="1">
      <alignment vertical="top"/>
      <protection/>
    </xf>
    <xf numFmtId="0" fontId="2"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Border="1" applyAlignment="1">
      <alignment vertical="top"/>
    </xf>
    <xf numFmtId="0" fontId="5" fillId="0" borderId="0" xfId="0" applyFont="1" applyFill="1" applyBorder="1" applyAlignment="1" applyProtection="1">
      <alignment horizontal="right" vertical="top"/>
      <protection/>
    </xf>
    <xf numFmtId="0" fontId="5" fillId="2" borderId="12" xfId="0" applyFont="1" applyFill="1" applyBorder="1" applyAlignment="1" applyProtection="1">
      <alignment vertical="top"/>
      <protection/>
    </xf>
    <xf numFmtId="1" fontId="1" fillId="4" borderId="0" xfId="0" applyNumberFormat="1" applyFont="1" applyFill="1" applyBorder="1" applyAlignment="1" applyProtection="1">
      <alignment vertical="top"/>
      <protection/>
    </xf>
    <xf numFmtId="1" fontId="1" fillId="5" borderId="0" xfId="0" applyNumberFormat="1" applyFont="1" applyFill="1" applyBorder="1" applyAlignment="1" applyProtection="1">
      <alignment vertical="top"/>
      <protection/>
    </xf>
    <xf numFmtId="1" fontId="1" fillId="6" borderId="0" xfId="0" applyNumberFormat="1" applyFont="1" applyFill="1" applyBorder="1" applyAlignment="1" applyProtection="1">
      <alignment vertical="top"/>
      <protection/>
    </xf>
    <xf numFmtId="1" fontId="9" fillId="7" borderId="0" xfId="0" applyNumberFormat="1" applyFont="1" applyFill="1" applyBorder="1" applyAlignment="1" applyProtection="1">
      <alignment vertical="top"/>
      <protection/>
    </xf>
    <xf numFmtId="0" fontId="16" fillId="0" borderId="0" xfId="0"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5" fillId="0" borderId="32" xfId="0" applyFont="1" applyFill="1" applyBorder="1" applyAlignment="1" applyProtection="1">
      <alignment/>
      <protection/>
    </xf>
    <xf numFmtId="0" fontId="5" fillId="2" borderId="33" xfId="0" applyFont="1" applyFill="1" applyBorder="1" applyAlignment="1" applyProtection="1">
      <alignment/>
      <protection/>
    </xf>
    <xf numFmtId="0" fontId="5" fillId="0" borderId="16" xfId="0" applyFont="1" applyFill="1" applyBorder="1" applyAlignment="1" applyProtection="1">
      <alignment/>
      <protection/>
    </xf>
    <xf numFmtId="0" fontId="5" fillId="2" borderId="7" xfId="0" applyFont="1" applyFill="1" applyBorder="1" applyAlignment="1" applyProtection="1">
      <alignment/>
      <protection/>
    </xf>
    <xf numFmtId="0" fontId="5" fillId="2" borderId="0" xfId="0" applyFont="1" applyFill="1" applyBorder="1" applyAlignment="1" applyProtection="1">
      <alignment/>
      <protection/>
    </xf>
    <xf numFmtId="0" fontId="0" fillId="9" borderId="0" xfId="0" applyFont="1" applyFill="1" applyBorder="1" applyAlignment="1">
      <alignment/>
    </xf>
    <xf numFmtId="0" fontId="18" fillId="4" borderId="0" xfId="0" applyFont="1" applyFill="1" applyBorder="1" applyAlignment="1">
      <alignment/>
    </xf>
    <xf numFmtId="0" fontId="0" fillId="10" borderId="0" xfId="0" applyFont="1" applyFill="1" applyBorder="1" applyAlignment="1">
      <alignment/>
    </xf>
    <xf numFmtId="1" fontId="19" fillId="8" borderId="0" xfId="0" applyNumberFormat="1" applyFont="1" applyFill="1" applyBorder="1" applyAlignment="1" applyProtection="1">
      <alignment horizontal="right"/>
      <protection/>
    </xf>
    <xf numFmtId="2" fontId="5" fillId="10" borderId="2" xfId="0" applyNumberFormat="1" applyFont="1" applyFill="1" applyBorder="1" applyAlignment="1" applyProtection="1">
      <alignment horizontal="right"/>
      <protection/>
    </xf>
    <xf numFmtId="2" fontId="20" fillId="0" borderId="2" xfId="0" applyNumberFormat="1" applyFont="1" applyFill="1" applyBorder="1" applyAlignment="1" applyProtection="1">
      <alignment horizontal="right"/>
      <protection/>
    </xf>
    <xf numFmtId="0" fontId="5" fillId="0" borderId="31" xfId="0" applyFont="1" applyFill="1" applyBorder="1" applyAlignment="1" applyProtection="1">
      <alignment/>
      <protection/>
    </xf>
    <xf numFmtId="2" fontId="20" fillId="0" borderId="37" xfId="0" applyNumberFormat="1" applyFont="1" applyFill="1" applyBorder="1" applyAlignment="1" applyProtection="1">
      <alignment horizontal="right"/>
      <protection/>
    </xf>
    <xf numFmtId="0" fontId="0" fillId="4" borderId="31" xfId="0" applyFont="1" applyFill="1" applyBorder="1" applyAlignment="1">
      <alignment/>
    </xf>
    <xf numFmtId="0" fontId="0" fillId="5" borderId="31" xfId="0" applyFont="1" applyFill="1" applyBorder="1" applyAlignment="1">
      <alignment/>
    </xf>
    <xf numFmtId="1" fontId="1" fillId="6" borderId="31" xfId="0" applyNumberFormat="1" applyFont="1" applyFill="1" applyBorder="1" applyAlignment="1">
      <alignment/>
    </xf>
    <xf numFmtId="1" fontId="9" fillId="7" borderId="31" xfId="0" applyNumberFormat="1" applyFont="1" applyFill="1" applyBorder="1" applyAlignment="1" applyProtection="1">
      <alignment horizontal="right"/>
      <protection/>
    </xf>
    <xf numFmtId="1" fontId="1" fillId="8" borderId="31" xfId="0" applyNumberFormat="1" applyFont="1" applyFill="1" applyBorder="1" applyAlignment="1" applyProtection="1">
      <alignment horizontal="right"/>
      <protection/>
    </xf>
    <xf numFmtId="1" fontId="1" fillId="0" borderId="31" xfId="0" applyNumberFormat="1" applyFont="1" applyFill="1" applyBorder="1" applyAlignment="1" applyProtection="1">
      <alignment horizontal="right"/>
      <protection/>
    </xf>
    <xf numFmtId="2" fontId="2" fillId="0" borderId="31" xfId="0" applyNumberFormat="1" applyFont="1" applyFill="1" applyBorder="1" applyAlignment="1" applyProtection="1">
      <alignment/>
      <protection/>
    </xf>
    <xf numFmtId="0" fontId="16" fillId="0" borderId="31" xfId="0" applyFont="1" applyFill="1" applyBorder="1" applyAlignment="1" applyProtection="1">
      <alignment horizontal="center"/>
      <protection/>
    </xf>
    <xf numFmtId="0" fontId="16" fillId="0" borderId="31" xfId="0" applyFont="1" applyFill="1" applyBorder="1" applyAlignment="1" applyProtection="1">
      <alignment/>
      <protection/>
    </xf>
    <xf numFmtId="0" fontId="16" fillId="0" borderId="31" xfId="0" applyFont="1" applyFill="1" applyBorder="1" applyAlignment="1">
      <alignment/>
    </xf>
    <xf numFmtId="0" fontId="0" fillId="0" borderId="31" xfId="0" applyFont="1" applyFill="1" applyBorder="1" applyAlignment="1">
      <alignment/>
    </xf>
    <xf numFmtId="0" fontId="0" fillId="0" borderId="31" xfId="0" applyFont="1" applyBorder="1" applyAlignment="1">
      <alignment/>
    </xf>
    <xf numFmtId="0" fontId="0" fillId="0" borderId="1" xfId="0" applyFont="1" applyBorder="1" applyAlignment="1">
      <alignment/>
    </xf>
    <xf numFmtId="10" fontId="0" fillId="0" borderId="38" xfId="0" applyNumberFormat="1" applyFont="1" applyBorder="1" applyAlignment="1">
      <alignment horizontal="right"/>
    </xf>
    <xf numFmtId="10" fontId="5" fillId="0" borderId="11" xfId="0" applyNumberFormat="1" applyFont="1" applyFill="1" applyBorder="1" applyAlignment="1" applyProtection="1">
      <alignment horizontal="right"/>
      <protection/>
    </xf>
    <xf numFmtId="2" fontId="20" fillId="0" borderId="0" xfId="0" applyNumberFormat="1" applyFont="1" applyFill="1" applyBorder="1" applyAlignment="1" applyProtection="1">
      <alignment horizontal="right"/>
      <protection/>
    </xf>
    <xf numFmtId="0" fontId="21" fillId="0" borderId="13" xfId="0" applyFont="1" applyBorder="1" applyAlignment="1">
      <alignment horizontal="left"/>
    </xf>
    <xf numFmtId="0" fontId="22" fillId="0" borderId="13" xfId="0" applyFont="1" applyBorder="1" applyAlignment="1">
      <alignment horizontal="left"/>
    </xf>
    <xf numFmtId="0" fontId="0" fillId="0" borderId="13" xfId="0" applyFont="1" applyBorder="1" applyAlignment="1">
      <alignment horizontal="left"/>
    </xf>
    <xf numFmtId="0" fontId="2" fillId="0" borderId="31" xfId="0" applyFont="1" applyFill="1" applyBorder="1" applyAlignment="1" applyProtection="1">
      <alignment/>
      <protection/>
    </xf>
    <xf numFmtId="0" fontId="2" fillId="0" borderId="31" xfId="0" applyFont="1" applyFill="1" applyBorder="1" applyAlignment="1">
      <alignment/>
    </xf>
    <xf numFmtId="0" fontId="0" fillId="0" borderId="31" xfId="0" applyFont="1" applyFill="1" applyBorder="1" applyAlignment="1">
      <alignment/>
    </xf>
    <xf numFmtId="0" fontId="0" fillId="0" borderId="31" xfId="0" applyFont="1" applyBorder="1" applyAlignment="1">
      <alignment/>
    </xf>
    <xf numFmtId="0" fontId="2" fillId="0" borderId="9" xfId="0" applyFont="1" applyFill="1" applyBorder="1" applyAlignment="1">
      <alignment/>
    </xf>
    <xf numFmtId="0" fontId="0" fillId="0" borderId="9" xfId="0" applyFont="1" applyFill="1" applyBorder="1" applyAlignment="1">
      <alignment/>
    </xf>
    <xf numFmtId="0" fontId="0" fillId="0" borderId="9" xfId="0" applyFont="1" applyBorder="1" applyAlignment="1">
      <alignment/>
    </xf>
    <xf numFmtId="0" fontId="0" fillId="4" borderId="0" xfId="0" applyFont="1" applyFill="1" applyBorder="1" applyAlignment="1">
      <alignment/>
    </xf>
    <xf numFmtId="0" fontId="0" fillId="5" borderId="0" xfId="0" applyFont="1" applyFill="1" applyBorder="1" applyAlignment="1">
      <alignment/>
    </xf>
    <xf numFmtId="1" fontId="1" fillId="6" borderId="0" xfId="0" applyNumberFormat="1" applyFont="1" applyFill="1" applyBorder="1" applyAlignment="1">
      <alignment/>
    </xf>
    <xf numFmtId="0" fontId="21" fillId="0" borderId="13" xfId="0" applyFont="1" applyBorder="1" applyAlignment="1">
      <alignment horizontal="left" vertical="top"/>
    </xf>
    <xf numFmtId="0" fontId="5" fillId="0" borderId="0" xfId="0" applyNumberFormat="1" applyFont="1" applyFill="1" applyBorder="1" applyAlignment="1" applyProtection="1">
      <alignment vertical="top"/>
      <protection/>
    </xf>
    <xf numFmtId="0" fontId="5" fillId="0" borderId="14" xfId="0" applyFont="1" applyFill="1" applyBorder="1" applyAlignment="1" applyProtection="1">
      <alignment horizontal="justify" wrapText="1"/>
      <protection/>
    </xf>
    <xf numFmtId="0" fontId="0" fillId="0" borderId="0" xfId="0" applyFont="1" applyBorder="1" applyAlignment="1">
      <alignment/>
    </xf>
    <xf numFmtId="0" fontId="5" fillId="3" borderId="14" xfId="0" applyFont="1" applyFill="1" applyBorder="1" applyAlignment="1" applyProtection="1">
      <alignment horizontal="right"/>
      <protection/>
    </xf>
    <xf numFmtId="10" fontId="10" fillId="3" borderId="0" xfId="0" applyNumberFormat="1" applyFont="1" applyFill="1" applyBorder="1" applyAlignment="1" applyProtection="1">
      <alignment horizontal="right"/>
      <protection/>
    </xf>
    <xf numFmtId="2" fontId="16" fillId="0" borderId="0" xfId="0" applyNumberFormat="1" applyFont="1" applyFill="1" applyBorder="1" applyAlignment="1" applyProtection="1">
      <alignment/>
      <protection/>
    </xf>
    <xf numFmtId="1" fontId="19" fillId="0" borderId="0" xfId="0" applyNumberFormat="1" applyFont="1" applyFill="1" applyBorder="1" applyAlignment="1" applyProtection="1">
      <alignment horizontal="right"/>
      <protection/>
    </xf>
    <xf numFmtId="0" fontId="16" fillId="0" borderId="0" xfId="0" applyFont="1" applyFill="1" applyBorder="1" applyAlignment="1" applyProtection="1">
      <alignment vertical="center"/>
      <protection/>
    </xf>
    <xf numFmtId="0" fontId="23" fillId="0" borderId="0" xfId="0" applyFont="1" applyFill="1" applyBorder="1" applyAlignment="1">
      <alignment/>
    </xf>
    <xf numFmtId="0" fontId="23" fillId="11" borderId="0" xfId="0" applyFont="1" applyFill="1" applyBorder="1" applyAlignment="1">
      <alignment/>
    </xf>
    <xf numFmtId="0" fontId="21" fillId="0" borderId="30" xfId="0" applyFont="1" applyBorder="1" applyAlignment="1">
      <alignment horizontal="left"/>
    </xf>
    <xf numFmtId="0" fontId="2" fillId="0" borderId="31" xfId="0" applyFont="1" applyFill="1" applyBorder="1" applyAlignment="1" applyProtection="1">
      <alignment horizontal="center"/>
      <protection/>
    </xf>
    <xf numFmtId="0" fontId="2" fillId="0" borderId="31" xfId="0" applyFont="1" applyFill="1" applyBorder="1" applyAlignment="1" applyProtection="1">
      <alignment/>
      <protection/>
    </xf>
    <xf numFmtId="2" fontId="5" fillId="0" borderId="2" xfId="0" applyNumberFormat="1" applyFont="1" applyFill="1" applyBorder="1" applyAlignment="1" applyProtection="1">
      <alignment horizontal="right"/>
      <protection/>
    </xf>
    <xf numFmtId="1" fontId="9" fillId="7" borderId="0" xfId="0" applyNumberFormat="1" applyFont="1" applyFill="1" applyBorder="1" applyAlignment="1" applyProtection="1">
      <alignment/>
      <protection/>
    </xf>
    <xf numFmtId="1" fontId="9" fillId="4" borderId="0" xfId="0" applyNumberFormat="1" applyFont="1" applyFill="1" applyBorder="1" applyAlignment="1" applyProtection="1">
      <alignment/>
      <protection/>
    </xf>
    <xf numFmtId="1" fontId="9" fillId="5" borderId="0" xfId="0" applyNumberFormat="1" applyFont="1" applyFill="1" applyBorder="1" applyAlignment="1" applyProtection="1">
      <alignment/>
      <protection/>
    </xf>
    <xf numFmtId="0" fontId="4" fillId="0" borderId="14" xfId="0" applyFont="1" applyFill="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vertical="center"/>
      <protection/>
    </xf>
    <xf numFmtId="0" fontId="4" fillId="0" borderId="14" xfId="0" applyFont="1" applyBorder="1" applyAlignment="1" applyProtection="1">
      <alignment vertical="center"/>
      <protection/>
    </xf>
    <xf numFmtId="0" fontId="8" fillId="0" borderId="14" xfId="0" applyFont="1" applyBorder="1" applyAlignment="1" applyProtection="1">
      <alignment/>
      <protection/>
    </xf>
    <xf numFmtId="172" fontId="5" fillId="0" borderId="14" xfId="0" applyNumberFormat="1" applyFont="1" applyBorder="1" applyAlignment="1" applyProtection="1">
      <alignment/>
      <protection/>
    </xf>
    <xf numFmtId="9" fontId="5" fillId="3" borderId="0" xfId="0" applyNumberFormat="1" applyFont="1" applyFill="1" applyBorder="1" applyAlignment="1">
      <alignment/>
    </xf>
    <xf numFmtId="0" fontId="5" fillId="0" borderId="11" xfId="0" applyFont="1" applyBorder="1" applyAlignment="1" applyProtection="1">
      <alignment/>
      <protection/>
    </xf>
    <xf numFmtId="0" fontId="5" fillId="0" borderId="31" xfId="0" applyFont="1" applyBorder="1" applyAlignment="1" applyProtection="1">
      <alignment/>
      <protection/>
    </xf>
    <xf numFmtId="0" fontId="5" fillId="0" borderId="32" xfId="0" applyFont="1" applyBorder="1" applyAlignment="1" applyProtection="1">
      <alignment/>
      <protection/>
    </xf>
    <xf numFmtId="0" fontId="2" fillId="0" borderId="31" xfId="0" applyFont="1" applyFill="1" applyBorder="1" applyAlignment="1" applyProtection="1">
      <alignment vertical="center"/>
      <protection/>
    </xf>
    <xf numFmtId="0" fontId="2" fillId="0" borderId="0" xfId="0" applyFont="1" applyFill="1" applyBorder="1" applyAlignment="1" applyProtection="1">
      <alignment/>
      <protection/>
    </xf>
    <xf numFmtId="172" fontId="8" fillId="0" borderId="14" xfId="0" applyNumberFormat="1" applyFont="1" applyBorder="1" applyAlignment="1" applyProtection="1">
      <alignment vertical="center"/>
      <protection/>
    </xf>
    <xf numFmtId="174" fontId="5" fillId="0" borderId="0" xfId="0" applyNumberFormat="1" applyFont="1" applyFill="1" applyBorder="1" applyAlignment="1" applyProtection="1">
      <alignment horizontal="right"/>
      <protection/>
    </xf>
    <xf numFmtId="172" fontId="5" fillId="0" borderId="14" xfId="0" applyNumberFormat="1" applyFont="1" applyBorder="1" applyAlignment="1" applyProtection="1">
      <alignment/>
      <protection/>
    </xf>
    <xf numFmtId="172" fontId="8" fillId="0" borderId="14" xfId="0" applyNumberFormat="1" applyFont="1" applyBorder="1" applyAlignment="1" applyProtection="1">
      <alignment/>
      <protection/>
    </xf>
    <xf numFmtId="2" fontId="5" fillId="3" borderId="0" xfId="0" applyNumberFormat="1" applyFont="1" applyFill="1" applyBorder="1" applyAlignment="1" applyProtection="1">
      <alignment/>
      <protection/>
    </xf>
    <xf numFmtId="0" fontId="5" fillId="3" borderId="0" xfId="0" applyFont="1" applyFill="1" applyBorder="1" applyAlignment="1" applyProtection="1">
      <alignment horizontal="center"/>
      <protection/>
    </xf>
    <xf numFmtId="2" fontId="5" fillId="0" borderId="31" xfId="0" applyNumberFormat="1" applyFont="1" applyFill="1" applyBorder="1" applyAlignment="1" applyProtection="1">
      <alignment horizontal="right"/>
      <protection/>
    </xf>
    <xf numFmtId="0" fontId="4" fillId="0" borderId="14" xfId="0" applyFont="1" applyBorder="1" applyAlignment="1" applyProtection="1">
      <alignment/>
      <protection/>
    </xf>
    <xf numFmtId="174" fontId="5" fillId="3" borderId="0" xfId="0" applyNumberFormat="1" applyFont="1" applyFill="1" applyBorder="1" applyAlignment="1" applyProtection="1">
      <alignment horizontal="right" vertical="center"/>
      <protection/>
    </xf>
    <xf numFmtId="0" fontId="4" fillId="0" borderId="14" xfId="0" applyFont="1" applyBorder="1" applyAlignment="1" applyProtection="1">
      <alignment/>
      <protection/>
    </xf>
    <xf numFmtId="0" fontId="8" fillId="0" borderId="14" xfId="0" applyFont="1" applyBorder="1" applyAlignment="1" applyProtection="1">
      <alignment/>
      <protection/>
    </xf>
    <xf numFmtId="0" fontId="5" fillId="0" borderId="14" xfId="0" applyFont="1" applyBorder="1" applyAlignment="1" applyProtection="1">
      <alignment/>
      <protection/>
    </xf>
    <xf numFmtId="0" fontId="5" fillId="0" borderId="32" xfId="0" applyFont="1" applyBorder="1" applyAlignment="1" applyProtection="1">
      <alignment/>
      <protection/>
    </xf>
    <xf numFmtId="174" fontId="5" fillId="3" borderId="31" xfId="0" applyNumberFormat="1" applyFont="1" applyFill="1" applyBorder="1" applyAlignment="1" applyProtection="1">
      <alignment horizontal="right"/>
      <protection/>
    </xf>
    <xf numFmtId="172" fontId="8" fillId="0" borderId="32" xfId="0" applyNumberFormat="1" applyFont="1" applyBorder="1" applyAlignment="1" applyProtection="1">
      <alignment/>
      <protection/>
    </xf>
    <xf numFmtId="0" fontId="5" fillId="0" borderId="0" xfId="0" applyFont="1" applyBorder="1" applyAlignment="1" applyProtection="1">
      <alignment/>
      <protection/>
    </xf>
    <xf numFmtId="172" fontId="4" fillId="0" borderId="14" xfId="0" applyNumberFormat="1" applyFont="1" applyBorder="1" applyAlignment="1" applyProtection="1">
      <alignment/>
      <protection/>
    </xf>
    <xf numFmtId="172" fontId="4" fillId="0" borderId="14" xfId="0" applyNumberFormat="1" applyFont="1" applyBorder="1" applyAlignment="1" applyProtection="1">
      <alignment/>
      <protection/>
    </xf>
    <xf numFmtId="172" fontId="5" fillId="0" borderId="14" xfId="0" applyNumberFormat="1" applyFont="1" applyBorder="1" applyAlignment="1" applyProtection="1">
      <alignment vertical="center"/>
      <protection/>
    </xf>
    <xf numFmtId="49" fontId="5" fillId="0" borderId="14" xfId="0" applyNumberFormat="1" applyFont="1" applyBorder="1" applyAlignment="1" applyProtection="1">
      <alignment/>
      <protection/>
    </xf>
    <xf numFmtId="0" fontId="5" fillId="2" borderId="0" xfId="0" applyFont="1" applyFill="1" applyBorder="1" applyAlignment="1" applyProtection="1">
      <alignment horizontal="left"/>
      <protection/>
    </xf>
    <xf numFmtId="49" fontId="5" fillId="0" borderId="14" xfId="0" applyNumberFormat="1" applyFont="1" applyFill="1" applyBorder="1" applyAlignment="1" applyProtection="1">
      <alignment horizontal="justify" wrapText="1"/>
      <protection/>
    </xf>
    <xf numFmtId="172" fontId="5" fillId="0" borderId="14" xfId="0" applyNumberFormat="1" applyFont="1" applyBorder="1" applyAlignment="1" applyProtection="1">
      <alignment/>
      <protection/>
    </xf>
    <xf numFmtId="2" fontId="2" fillId="0" borderId="0" xfId="0" applyNumberFormat="1" applyFont="1" applyFill="1" applyBorder="1" applyAlignment="1" applyProtection="1">
      <alignment/>
      <protection/>
    </xf>
    <xf numFmtId="0" fontId="0" fillId="0" borderId="0" xfId="0" applyFont="1" applyFill="1" applyBorder="1" applyAlignment="1">
      <alignment/>
    </xf>
    <xf numFmtId="0" fontId="5" fillId="0" borderId="0" xfId="0" applyFont="1" applyFill="1" applyBorder="1" applyAlignment="1" applyProtection="1">
      <alignment/>
      <protection/>
    </xf>
    <xf numFmtId="1" fontId="1" fillId="8" borderId="0" xfId="0" applyNumberFormat="1" applyFont="1" applyFill="1" applyBorder="1" applyAlignment="1" applyProtection="1">
      <alignment/>
      <protection/>
    </xf>
    <xf numFmtId="172" fontId="4" fillId="0" borderId="14" xfId="0" applyNumberFormat="1" applyFont="1" applyBorder="1" applyAlignment="1" applyProtection="1">
      <alignment horizontal="justify" vertical="center" wrapText="1"/>
      <protection/>
    </xf>
    <xf numFmtId="0" fontId="0" fillId="0" borderId="14" xfId="0" applyFont="1" applyBorder="1" applyAlignment="1">
      <alignment horizontal="justify" vertical="center" wrapText="1"/>
    </xf>
    <xf numFmtId="0" fontId="0" fillId="0" borderId="32" xfId="0" applyFont="1" applyBorder="1" applyAlignment="1">
      <alignment horizontal="justify" vertical="center" wrapText="1"/>
    </xf>
    <xf numFmtId="0" fontId="6" fillId="0" borderId="31" xfId="0" applyFont="1" applyFill="1" applyBorder="1" applyAlignment="1" applyProtection="1">
      <alignment/>
      <protection/>
    </xf>
    <xf numFmtId="0" fontId="5" fillId="0" borderId="0" xfId="0" applyNumberFormat="1" applyFont="1" applyBorder="1" applyAlignment="1" applyProtection="1">
      <alignment/>
      <protection/>
    </xf>
    <xf numFmtId="172" fontId="8" fillId="0" borderId="14" xfId="0" applyNumberFormat="1" applyFont="1" applyBorder="1" applyAlignment="1" applyProtection="1">
      <alignment/>
      <protection/>
    </xf>
    <xf numFmtId="2" fontId="6" fillId="0" borderId="0" xfId="0" applyNumberFormat="1" applyFont="1" applyFill="1" applyBorder="1" applyAlignment="1" applyProtection="1">
      <alignment horizontal="center"/>
      <protection/>
    </xf>
    <xf numFmtId="172" fontId="5" fillId="0" borderId="32" xfId="0" applyNumberFormat="1" applyFont="1" applyFill="1" applyBorder="1" applyAlignment="1" applyProtection="1">
      <alignment/>
      <protection/>
    </xf>
    <xf numFmtId="0" fontId="5" fillId="0" borderId="33" xfId="0" applyFont="1" applyFill="1" applyBorder="1" applyAlignment="1" applyProtection="1">
      <alignment/>
      <protection/>
    </xf>
    <xf numFmtId="174" fontId="5" fillId="0" borderId="31" xfId="0" applyNumberFormat="1" applyFont="1" applyFill="1" applyBorder="1" applyAlignment="1" applyProtection="1">
      <alignment horizontal="right"/>
      <protection/>
    </xf>
    <xf numFmtId="2" fontId="6" fillId="0" borderId="31" xfId="0" applyNumberFormat="1" applyFont="1" applyFill="1" applyBorder="1" applyAlignment="1" applyProtection="1">
      <alignment horizontal="center"/>
      <protection/>
    </xf>
    <xf numFmtId="1" fontId="1" fillId="4" borderId="0" xfId="0" applyNumberFormat="1" applyFont="1" applyFill="1" applyBorder="1" applyAlignment="1" applyProtection="1">
      <alignment horizontal="right"/>
      <protection/>
    </xf>
    <xf numFmtId="0" fontId="5" fillId="0" borderId="11" xfId="0" applyFont="1" applyFill="1" applyBorder="1" applyAlignment="1">
      <alignment/>
    </xf>
    <xf numFmtId="174" fontId="5" fillId="3" borderId="0" xfId="0" applyNumberFormat="1" applyFont="1" applyFill="1" applyBorder="1" applyAlignment="1" applyProtection="1">
      <alignment horizontal="left"/>
      <protection/>
    </xf>
    <xf numFmtId="172" fontId="5" fillId="0" borderId="2" xfId="0" applyNumberFormat="1" applyFont="1" applyFill="1" applyBorder="1" applyAlignment="1" applyProtection="1">
      <alignment/>
      <protection/>
    </xf>
    <xf numFmtId="49" fontId="5" fillId="0" borderId="14" xfId="0" applyNumberFormat="1" applyFont="1" applyFill="1" applyBorder="1" applyAlignment="1" applyProtection="1">
      <alignment wrapText="1"/>
      <protection/>
    </xf>
    <xf numFmtId="172" fontId="5" fillId="0" borderId="0" xfId="0" applyNumberFormat="1" applyFont="1" applyFill="1" applyBorder="1" applyAlignment="1" applyProtection="1">
      <alignment/>
      <protection/>
    </xf>
    <xf numFmtId="174" fontId="5" fillId="4" borderId="0" xfId="0" applyNumberFormat="1" applyFont="1" applyFill="1" applyBorder="1" applyAlignment="1" applyProtection="1">
      <alignment horizontal="left"/>
      <protection/>
    </xf>
    <xf numFmtId="0" fontId="5" fillId="4" borderId="0" xfId="0" applyFont="1" applyFill="1" applyBorder="1" applyAlignment="1" applyProtection="1">
      <alignment/>
      <protection/>
    </xf>
    <xf numFmtId="172" fontId="4" fillId="0" borderId="14" xfId="0" applyNumberFormat="1" applyFont="1" applyBorder="1" applyAlignment="1" applyProtection="1">
      <alignment vertical="center"/>
      <protection/>
    </xf>
    <xf numFmtId="2" fontId="5" fillId="0" borderId="0" xfId="0" applyNumberFormat="1" applyFont="1" applyFill="1" applyBorder="1" applyAlignment="1" applyProtection="1">
      <alignment horizontal="left"/>
      <protection/>
    </xf>
    <xf numFmtId="0" fontId="2" fillId="0" borderId="14" xfId="0" applyFont="1" applyFill="1" applyBorder="1" applyAlignment="1">
      <alignment horizontal="center"/>
    </xf>
    <xf numFmtId="0" fontId="5" fillId="0" borderId="0" xfId="0" applyFont="1" applyBorder="1" applyAlignment="1" applyProtection="1">
      <alignment horizontal="left" vertical="top"/>
      <protection/>
    </xf>
    <xf numFmtId="172" fontId="8" fillId="0" borderId="14" xfId="0" applyNumberFormat="1" applyFont="1" applyBorder="1" applyAlignment="1" applyProtection="1">
      <alignment horizontal="justify" vertical="top" wrapText="1"/>
      <protection/>
    </xf>
    <xf numFmtId="0" fontId="5" fillId="0" borderId="14" xfId="0" applyFont="1" applyFill="1" applyBorder="1" applyAlignment="1">
      <alignment horizontal="center"/>
    </xf>
    <xf numFmtId="0" fontId="5" fillId="0" borderId="0" xfId="0" applyFont="1" applyBorder="1" applyAlignment="1" applyProtection="1">
      <alignment horizontal="center"/>
      <protection/>
    </xf>
    <xf numFmtId="172" fontId="8" fillId="0" borderId="14" xfId="0" applyNumberFormat="1" applyFont="1" applyBorder="1" applyAlignment="1" applyProtection="1">
      <alignment horizontal="justify" vertical="center" wrapText="1"/>
      <protection/>
    </xf>
    <xf numFmtId="2" fontId="5" fillId="0" borderId="14" xfId="0" applyNumberFormat="1" applyFont="1" applyFill="1" applyBorder="1" applyAlignment="1" applyProtection="1">
      <alignment horizontal="center"/>
      <protection/>
    </xf>
    <xf numFmtId="0" fontId="5" fillId="0" borderId="0" xfId="0" applyFont="1" applyBorder="1" applyAlignment="1" applyProtection="1">
      <alignment horizontal="center" vertical="top"/>
      <protection/>
    </xf>
    <xf numFmtId="0" fontId="5" fillId="3" borderId="12" xfId="0" applyFont="1" applyFill="1" applyBorder="1" applyAlignment="1" applyProtection="1">
      <alignment horizontal="right"/>
      <protection/>
    </xf>
    <xf numFmtId="1" fontId="1" fillId="4" borderId="0" xfId="0" applyNumberFormat="1" applyFont="1" applyFill="1" applyBorder="1" applyAlignment="1">
      <alignment/>
    </xf>
    <xf numFmtId="1" fontId="1" fillId="5" borderId="0" xfId="0" applyNumberFormat="1" applyFont="1" applyFill="1" applyBorder="1" applyAlignment="1">
      <alignment/>
    </xf>
    <xf numFmtId="1" fontId="9" fillId="7" borderId="0" xfId="0" applyNumberFormat="1" applyFont="1" applyFill="1" applyBorder="1" applyAlignment="1">
      <alignment/>
    </xf>
    <xf numFmtId="1" fontId="1" fillId="8" borderId="0" xfId="0" applyNumberFormat="1" applyFont="1" applyFill="1" applyBorder="1" applyAlignment="1">
      <alignment/>
    </xf>
    <xf numFmtId="172" fontId="8" fillId="0" borderId="14" xfId="0" applyNumberFormat="1" applyFont="1" applyBorder="1" applyAlignment="1" applyProtection="1">
      <alignment vertical="center" wrapText="1"/>
      <protection/>
    </xf>
    <xf numFmtId="172" fontId="5" fillId="0" borderId="2" xfId="0" applyNumberFormat="1" applyFont="1" applyFill="1" applyBorder="1" applyAlignment="1" applyProtection="1">
      <alignment/>
      <protection/>
    </xf>
    <xf numFmtId="0" fontId="21" fillId="0" borderId="30" xfId="0" applyFont="1" applyBorder="1" applyAlignment="1">
      <alignment horizontal="left" vertical="top"/>
    </xf>
    <xf numFmtId="0" fontId="5" fillId="0" borderId="31" xfId="0" applyFont="1" applyBorder="1" applyAlignment="1" applyProtection="1">
      <alignment horizontal="center" vertical="top"/>
      <protection/>
    </xf>
    <xf numFmtId="172" fontId="8" fillId="0" borderId="32" xfId="0" applyNumberFormat="1" applyFont="1" applyBorder="1" applyAlignment="1" applyProtection="1">
      <alignment horizontal="justify" vertical="center" wrapText="1"/>
      <protection/>
    </xf>
    <xf numFmtId="0" fontId="5" fillId="2" borderId="33" xfId="0" applyFont="1" applyFill="1" applyBorder="1" applyAlignment="1" applyProtection="1">
      <alignment/>
      <protection/>
    </xf>
    <xf numFmtId="0" fontId="5" fillId="2" borderId="31" xfId="0" applyFont="1" applyFill="1" applyBorder="1" applyAlignment="1" applyProtection="1">
      <alignment/>
      <protection/>
    </xf>
    <xf numFmtId="0" fontId="5" fillId="0" borderId="0" xfId="0" applyFont="1" applyFill="1" applyBorder="1" applyAlignment="1" applyProtection="1">
      <alignment horizontal="center" vertical="top"/>
      <protection/>
    </xf>
    <xf numFmtId="0" fontId="0" fillId="0" borderId="0" xfId="0" applyFont="1" applyBorder="1" applyAlignment="1">
      <alignment horizontal="justify" vertical="center" wrapText="1"/>
    </xf>
    <xf numFmtId="10" fontId="5" fillId="0" borderId="0" xfId="0" applyNumberFormat="1" applyFont="1" applyFill="1" applyBorder="1" applyAlignment="1" applyProtection="1">
      <alignment horizontal="right"/>
      <protection/>
    </xf>
    <xf numFmtId="0" fontId="2" fillId="0" borderId="0" xfId="0" applyFont="1" applyFill="1" applyBorder="1" applyAlignment="1">
      <alignment/>
    </xf>
    <xf numFmtId="10" fontId="0" fillId="0" borderId="0" xfId="0" applyNumberFormat="1" applyFont="1" applyBorder="1" applyAlignment="1">
      <alignment horizontal="right"/>
    </xf>
    <xf numFmtId="0" fontId="0" fillId="2" borderId="0" xfId="0" applyFont="1" applyFill="1" applyBorder="1" applyAlignment="1">
      <alignment/>
    </xf>
    <xf numFmtId="0" fontId="0" fillId="3" borderId="0" xfId="0" applyFont="1" applyFill="1" applyBorder="1" applyAlignment="1">
      <alignment/>
    </xf>
    <xf numFmtId="172" fontId="8" fillId="0" borderId="0" xfId="0" applyNumberFormat="1" applyFont="1" applyBorder="1" applyAlignment="1" applyProtection="1">
      <alignment vertical="top" wrapText="1"/>
      <protection/>
    </xf>
    <xf numFmtId="10" fontId="2" fillId="0" borderId="0" xfId="0" applyNumberFormat="1" applyFont="1" applyFill="1" applyBorder="1" applyAlignment="1">
      <alignment horizontal="right"/>
    </xf>
    <xf numFmtId="0" fontId="5" fillId="2" borderId="0" xfId="0" applyFont="1" applyFill="1" applyBorder="1" applyAlignment="1" applyProtection="1">
      <alignment vertical="top"/>
      <protection/>
    </xf>
    <xf numFmtId="10" fontId="5" fillId="0" borderId="0" xfId="0" applyNumberFormat="1" applyFont="1" applyFill="1" applyBorder="1" applyAlignment="1" applyProtection="1">
      <alignment horizontal="right" vertical="top"/>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top"/>
      <protection/>
    </xf>
    <xf numFmtId="0" fontId="5" fillId="0" borderId="0" xfId="0" applyFont="1" applyBorder="1" applyAlignment="1">
      <alignment vertical="top"/>
    </xf>
    <xf numFmtId="2" fontId="5" fillId="0" borderId="0" xfId="0" applyNumberFormat="1" applyFont="1" applyFill="1" applyBorder="1" applyAlignment="1" applyProtection="1">
      <alignment horizontal="center" vertical="top"/>
      <protection/>
    </xf>
    <xf numFmtId="2" fontId="5" fillId="0" borderId="0" xfId="0" applyNumberFormat="1" applyFont="1" applyFill="1" applyBorder="1" applyAlignment="1" applyProtection="1">
      <alignment horizontal="right" vertical="top"/>
      <protection/>
    </xf>
    <xf numFmtId="2" fontId="5" fillId="4" borderId="0" xfId="0" applyNumberFormat="1" applyFont="1" applyFill="1" applyBorder="1" applyAlignment="1" applyProtection="1">
      <alignment horizontal="right"/>
      <protection/>
    </xf>
    <xf numFmtId="2" fontId="5" fillId="5" borderId="0" xfId="0" applyNumberFormat="1" applyFont="1" applyFill="1" applyBorder="1" applyAlignment="1" applyProtection="1">
      <alignment horizontal="right"/>
      <protection/>
    </xf>
    <xf numFmtId="2" fontId="5" fillId="4" borderId="0" xfId="0" applyNumberFormat="1" applyFont="1" applyFill="1" applyBorder="1" applyAlignment="1" applyProtection="1">
      <alignment horizontal="right" vertical="top"/>
      <protection/>
    </xf>
    <xf numFmtId="2" fontId="5" fillId="5" borderId="0" xfId="0" applyNumberFormat="1" applyFont="1" applyFill="1" applyBorder="1" applyAlignment="1" applyProtection="1">
      <alignment horizontal="right" vertical="top"/>
      <protection/>
    </xf>
    <xf numFmtId="1" fontId="1" fillId="7" borderId="0" xfId="0" applyNumberFormat="1" applyFont="1" applyFill="1" applyBorder="1" applyAlignment="1" applyProtection="1">
      <alignment horizontal="right" vertical="top"/>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24" fillId="0" borderId="0" xfId="0" applyFont="1" applyFill="1" applyBorder="1" applyAlignment="1" applyProtection="1">
      <alignment horizontal="center"/>
      <protection/>
    </xf>
    <xf numFmtId="0" fontId="24" fillId="0" borderId="0" xfId="0" applyFont="1" applyFill="1" applyBorder="1" applyAlignment="1" applyProtection="1">
      <alignment/>
      <protection/>
    </xf>
    <xf numFmtId="2" fontId="25" fillId="9" borderId="16" xfId="0" applyNumberFormat="1" applyFont="1" applyFill="1" applyBorder="1" applyAlignment="1" applyProtection="1">
      <alignment horizontal="center"/>
      <protection/>
    </xf>
    <xf numFmtId="0" fontId="25" fillId="9" borderId="16" xfId="0" applyFont="1" applyFill="1" applyBorder="1" applyAlignment="1" applyProtection="1">
      <alignment horizontal="center"/>
      <protection/>
    </xf>
    <xf numFmtId="2" fontId="25" fillId="9" borderId="39" xfId="0" applyNumberFormat="1" applyFont="1" applyFill="1" applyBorder="1" applyAlignment="1" applyProtection="1">
      <alignment horizontal="center"/>
      <protection/>
    </xf>
    <xf numFmtId="0" fontId="25" fillId="9" borderId="39" xfId="0" applyFont="1" applyFill="1" applyBorder="1" applyAlignment="1" applyProtection="1">
      <alignment horizontal="center"/>
      <protection/>
    </xf>
    <xf numFmtId="0" fontId="25" fillId="9" borderId="3" xfId="0" applyFont="1" applyFill="1" applyBorder="1" applyAlignment="1" applyProtection="1">
      <alignment horizontal="center"/>
      <protection/>
    </xf>
    <xf numFmtId="0" fontId="25" fillId="9" borderId="23" xfId="0" applyFont="1" applyFill="1" applyBorder="1" applyAlignment="1" applyProtection="1">
      <alignment horizontal="center"/>
      <protection/>
    </xf>
    <xf numFmtId="2" fontId="25" fillId="9" borderId="3" xfId="0" applyNumberFormat="1" applyFont="1" applyFill="1" applyBorder="1" applyAlignment="1" applyProtection="1">
      <alignment wrapText="1"/>
      <protection/>
    </xf>
    <xf numFmtId="177" fontId="25" fillId="9" borderId="3" xfId="0" applyNumberFormat="1" applyFont="1" applyFill="1" applyBorder="1" applyAlignment="1" applyProtection="1">
      <alignment horizontal="center"/>
      <protection/>
    </xf>
    <xf numFmtId="2" fontId="25" fillId="9" borderId="3" xfId="0" applyNumberFormat="1" applyFont="1" applyFill="1" applyBorder="1" applyAlignment="1" applyProtection="1">
      <alignment horizontal="center"/>
      <protection/>
    </xf>
    <xf numFmtId="2" fontId="25" fillId="9" borderId="5" xfId="0" applyNumberFormat="1" applyFont="1" applyFill="1" applyBorder="1" applyAlignment="1" applyProtection="1">
      <alignment horizontal="center"/>
      <protection/>
    </xf>
    <xf numFmtId="2" fontId="25" fillId="9" borderId="16" xfId="0" applyNumberFormat="1" applyFont="1" applyFill="1" applyBorder="1" applyAlignment="1" applyProtection="1">
      <alignment/>
      <protection/>
    </xf>
    <xf numFmtId="2" fontId="25" fillId="9" borderId="7" xfId="0" applyNumberFormat="1" applyFont="1" applyFill="1" applyBorder="1" applyAlignment="1" applyProtection="1">
      <alignment horizontal="center"/>
      <protection/>
    </xf>
    <xf numFmtId="2" fontId="25" fillId="9" borderId="39" xfId="0" applyNumberFormat="1" applyFont="1" applyFill="1" applyBorder="1" applyAlignment="1" applyProtection="1">
      <alignment/>
      <protection/>
    </xf>
    <xf numFmtId="0" fontId="25" fillId="9" borderId="39" xfId="0" applyFont="1" applyFill="1" applyBorder="1" applyAlignment="1" applyProtection="1">
      <alignment/>
      <protection/>
    </xf>
    <xf numFmtId="2" fontId="25" fillId="9" borderId="23" xfId="0" applyNumberFormat="1" applyFont="1" applyFill="1" applyBorder="1" applyAlignment="1" applyProtection="1">
      <alignment horizontal="center"/>
      <protection/>
    </xf>
    <xf numFmtId="0" fontId="25" fillId="9" borderId="16" xfId="0" applyFont="1" applyFill="1" applyBorder="1" applyAlignment="1" applyProtection="1">
      <alignment/>
      <protection/>
    </xf>
    <xf numFmtId="2" fontId="25" fillId="9" borderId="14" xfId="0" applyNumberFormat="1" applyFont="1" applyFill="1" applyBorder="1" applyAlignment="1" applyProtection="1">
      <alignment/>
      <protection/>
    </xf>
    <xf numFmtId="0" fontId="25" fillId="9" borderId="14" xfId="0" applyFont="1" applyFill="1" applyBorder="1" applyAlignment="1" applyProtection="1">
      <alignment horizontal="center"/>
      <protection/>
    </xf>
    <xf numFmtId="2" fontId="25" fillId="9" borderId="14" xfId="0" applyNumberFormat="1" applyFont="1" applyFill="1" applyBorder="1" applyAlignment="1" applyProtection="1">
      <alignment horizontal="center"/>
      <protection/>
    </xf>
    <xf numFmtId="2" fontId="25" fillId="9" borderId="12" xfId="0" applyNumberFormat="1" applyFont="1" applyFill="1" applyBorder="1" applyAlignment="1" applyProtection="1">
      <alignment horizontal="center"/>
      <protection/>
    </xf>
    <xf numFmtId="0" fontId="0" fillId="9" borderId="39" xfId="0" applyFont="1" applyFill="1" applyBorder="1" applyAlignment="1">
      <alignment/>
    </xf>
    <xf numFmtId="0" fontId="25" fillId="9" borderId="14" xfId="0" applyFont="1" applyFill="1" applyBorder="1" applyAlignment="1" applyProtection="1">
      <alignment/>
      <protection/>
    </xf>
    <xf numFmtId="0" fontId="25" fillId="9" borderId="39" xfId="0" applyFont="1" applyFill="1" applyBorder="1" applyAlignment="1">
      <alignment/>
    </xf>
    <xf numFmtId="0" fontId="25" fillId="9" borderId="23" xfId="0" applyFont="1" applyFill="1" applyBorder="1" applyAlignment="1">
      <alignment/>
    </xf>
    <xf numFmtId="2" fontId="25" fillId="9" borderId="3" xfId="0" applyNumberFormat="1" applyFont="1" applyFill="1" applyBorder="1" applyAlignment="1" applyProtection="1">
      <alignment/>
      <protection/>
    </xf>
    <xf numFmtId="0" fontId="25" fillId="9" borderId="3" xfId="0" applyFont="1" applyFill="1" applyBorder="1" applyAlignment="1">
      <alignment horizontal="center"/>
    </xf>
    <xf numFmtId="0" fontId="25" fillId="9" borderId="14" xfId="0" applyFont="1" applyFill="1" applyBorder="1" applyAlignment="1">
      <alignment/>
    </xf>
    <xf numFmtId="0" fontId="25" fillId="9" borderId="12" xfId="0" applyFont="1" applyFill="1" applyBorder="1" applyAlignment="1">
      <alignment/>
    </xf>
    <xf numFmtId="0" fontId="25" fillId="9" borderId="16" xfId="0" applyNumberFormat="1" applyFont="1" applyFill="1" applyBorder="1" applyAlignment="1" applyProtection="1">
      <alignment horizontal="center"/>
      <protection/>
    </xf>
    <xf numFmtId="0" fontId="25" fillId="9" borderId="16" xfId="0" applyFont="1" applyFill="1" applyBorder="1" applyAlignment="1" applyProtection="1">
      <alignment horizontal="center" vertical="center"/>
      <protection/>
    </xf>
    <xf numFmtId="0" fontId="25" fillId="9" borderId="39" xfId="0" applyFont="1" applyFill="1" applyBorder="1" applyAlignment="1">
      <alignment horizontal="center"/>
    </xf>
    <xf numFmtId="10" fontId="4" fillId="0" borderId="0" xfId="0" applyNumberFormat="1" applyFont="1" applyFill="1" applyBorder="1" applyAlignment="1" applyProtection="1">
      <alignment horizontal="right" vertical="top"/>
      <protection/>
    </xf>
    <xf numFmtId="2" fontId="4" fillId="3" borderId="0" xfId="0" applyNumberFormat="1" applyFont="1" applyFill="1" applyBorder="1" applyAlignment="1" applyProtection="1">
      <alignment horizontal="right" vertical="top"/>
      <protection/>
    </xf>
    <xf numFmtId="2" fontId="25" fillId="0" borderId="0" xfId="0" applyNumberFormat="1" applyFont="1" applyFill="1" applyBorder="1" applyAlignment="1" applyProtection="1">
      <alignment vertical="center"/>
      <protection/>
    </xf>
    <xf numFmtId="0" fontId="25" fillId="0" borderId="0" xfId="0" applyFont="1" applyFill="1" applyBorder="1" applyAlignment="1">
      <alignment horizontal="center"/>
    </xf>
    <xf numFmtId="0" fontId="25" fillId="0" borderId="0" xfId="0" applyFont="1" applyFill="1" applyBorder="1" applyAlignment="1" applyProtection="1">
      <alignment vertical="center"/>
      <protection/>
    </xf>
    <xf numFmtId="2" fontId="25" fillId="0" borderId="0" xfId="0" applyNumberFormat="1" applyFont="1" applyFill="1" applyBorder="1" applyAlignment="1" applyProtection="1">
      <alignment horizontal="center" vertical="center"/>
      <protection/>
    </xf>
    <xf numFmtId="0" fontId="5" fillId="0" borderId="0" xfId="0" applyFont="1" applyBorder="1" applyAlignment="1">
      <alignment/>
    </xf>
    <xf numFmtId="0" fontId="2" fillId="4" borderId="0" xfId="0" applyFont="1" applyFill="1" applyBorder="1" applyAlignment="1">
      <alignment/>
    </xf>
    <xf numFmtId="0" fontId="2" fillId="5" borderId="0" xfId="0" applyFont="1" applyFill="1" applyBorder="1" applyAlignment="1">
      <alignment/>
    </xf>
    <xf numFmtId="0" fontId="26" fillId="0" borderId="0" xfId="0" applyFont="1" applyFill="1" applyBorder="1" applyAlignment="1">
      <alignment horizontal="center"/>
    </xf>
    <xf numFmtId="2" fontId="26" fillId="0" borderId="0" xfId="0" applyNumberFormat="1" applyFont="1" applyFill="1" applyBorder="1" applyAlignment="1">
      <alignment/>
    </xf>
    <xf numFmtId="2" fontId="25" fillId="12" borderId="16" xfId="0" applyNumberFormat="1" applyFont="1" applyFill="1" applyBorder="1" applyAlignment="1" applyProtection="1">
      <alignment horizontal="center"/>
      <protection/>
    </xf>
    <xf numFmtId="0" fontId="25" fillId="12" borderId="16" xfId="0" applyFont="1" applyFill="1" applyBorder="1" applyAlignment="1" applyProtection="1">
      <alignment horizontal="center"/>
      <protection/>
    </xf>
    <xf numFmtId="0" fontId="2" fillId="12" borderId="0" xfId="0" applyFont="1" applyFill="1" applyBorder="1" applyAlignment="1">
      <alignment/>
    </xf>
    <xf numFmtId="2" fontId="25" fillId="12" borderId="39" xfId="0" applyNumberFormat="1" applyFont="1" applyFill="1" applyBorder="1" applyAlignment="1" applyProtection="1">
      <alignment horizontal="center"/>
      <protection/>
    </xf>
    <xf numFmtId="0" fontId="25" fillId="12" borderId="39" xfId="0" applyFont="1" applyFill="1" applyBorder="1" applyAlignment="1" applyProtection="1">
      <alignment horizontal="center"/>
      <protection/>
    </xf>
    <xf numFmtId="0" fontId="25" fillId="12" borderId="3" xfId="0" applyFont="1" applyFill="1" applyBorder="1" applyAlignment="1" applyProtection="1">
      <alignment horizontal="center"/>
      <protection/>
    </xf>
    <xf numFmtId="2" fontId="25" fillId="12" borderId="3" xfId="0" applyNumberFormat="1" applyFont="1" applyFill="1" applyBorder="1" applyAlignment="1" applyProtection="1">
      <alignment wrapText="1"/>
      <protection/>
    </xf>
    <xf numFmtId="2" fontId="25" fillId="12" borderId="3" xfId="0" applyNumberFormat="1" applyFont="1" applyFill="1" applyBorder="1" applyAlignment="1" applyProtection="1">
      <alignment horizontal="center"/>
      <protection/>
    </xf>
    <xf numFmtId="0" fontId="0" fillId="12" borderId="0" xfId="0" applyFont="1" applyFill="1" applyBorder="1" applyAlignment="1">
      <alignment horizontal="center"/>
    </xf>
    <xf numFmtId="177" fontId="25" fillId="12" borderId="3" xfId="0" applyNumberFormat="1" applyFont="1" applyFill="1" applyBorder="1" applyAlignment="1" applyProtection="1">
      <alignment horizontal="center"/>
      <protection/>
    </xf>
    <xf numFmtId="0" fontId="6" fillId="12" borderId="0" xfId="0" applyFont="1" applyFill="1" applyBorder="1" applyAlignment="1">
      <alignment horizontal="center"/>
    </xf>
    <xf numFmtId="2" fontId="25" fillId="12" borderId="16" xfId="0" applyNumberFormat="1" applyFont="1" applyFill="1" applyBorder="1" applyAlignment="1" applyProtection="1">
      <alignment/>
      <protection/>
    </xf>
    <xf numFmtId="2" fontId="25" fillId="12" borderId="14" xfId="0" applyNumberFormat="1" applyFont="1" applyFill="1" applyBorder="1" applyAlignment="1" applyProtection="1">
      <alignment/>
      <protection/>
    </xf>
    <xf numFmtId="0" fontId="25" fillId="12" borderId="14" xfId="0" applyFont="1" applyFill="1" applyBorder="1" applyAlignment="1" applyProtection="1">
      <alignment horizontal="center"/>
      <protection/>
    </xf>
    <xf numFmtId="2" fontId="25" fillId="12" borderId="14" xfId="0" applyNumberFormat="1" applyFont="1" applyFill="1" applyBorder="1" applyAlignment="1" applyProtection="1">
      <alignment horizontal="center"/>
      <protection/>
    </xf>
    <xf numFmtId="2" fontId="25" fillId="12" borderId="39" xfId="0" applyNumberFormat="1" applyFont="1" applyFill="1" applyBorder="1" applyAlignment="1" applyProtection="1">
      <alignment/>
      <protection/>
    </xf>
    <xf numFmtId="0" fontId="0" fillId="12" borderId="39" xfId="0" applyFont="1" applyFill="1" applyBorder="1" applyAlignment="1">
      <alignment/>
    </xf>
    <xf numFmtId="2" fontId="25" fillId="12" borderId="3" xfId="0" applyNumberFormat="1" applyFont="1" applyFill="1" applyBorder="1" applyAlignment="1" applyProtection="1">
      <alignment vertical="center"/>
      <protection/>
    </xf>
    <xf numFmtId="0" fontId="25" fillId="12" borderId="3" xfId="0" applyFont="1" applyFill="1" applyBorder="1" applyAlignment="1" applyProtection="1">
      <alignment horizontal="center" vertical="center"/>
      <protection/>
    </xf>
    <xf numFmtId="2" fontId="25" fillId="12" borderId="3" xfId="0" applyNumberFormat="1" applyFont="1" applyFill="1" applyBorder="1" applyAlignment="1" applyProtection="1">
      <alignment horizontal="center" vertical="center"/>
      <protection/>
    </xf>
    <xf numFmtId="2" fontId="25" fillId="12" borderId="3" xfId="0" applyNumberFormat="1" applyFont="1" applyFill="1" applyBorder="1" applyAlignment="1" applyProtection="1">
      <alignment/>
      <protection/>
    </xf>
    <xf numFmtId="0" fontId="5" fillId="0" borderId="37" xfId="0" applyFont="1" applyFill="1" applyBorder="1" applyAlignment="1" applyProtection="1">
      <alignment horizontal="center"/>
      <protection/>
    </xf>
    <xf numFmtId="0" fontId="5" fillId="0" borderId="5" xfId="0" applyFont="1" applyFill="1" applyBorder="1" applyAlignment="1" applyProtection="1">
      <alignment horizontal="center" vertical="center"/>
      <protection/>
    </xf>
    <xf numFmtId="2" fontId="5" fillId="0" borderId="12" xfId="0" applyNumberFormat="1" applyFont="1" applyFill="1" applyBorder="1" applyAlignment="1" applyProtection="1">
      <alignment/>
      <protection/>
    </xf>
    <xf numFmtId="2" fontId="5" fillId="0" borderId="40" xfId="0" applyNumberFormat="1" applyFont="1" applyFill="1" applyBorder="1" applyAlignment="1" applyProtection="1">
      <alignment horizontal="right"/>
      <protection/>
    </xf>
    <xf numFmtId="2" fontId="5" fillId="0" borderId="0" xfId="0" applyNumberFormat="1" applyFont="1" applyFill="1" applyBorder="1" applyAlignment="1" applyProtection="1">
      <alignment horizontal="right"/>
      <protection/>
    </xf>
    <xf numFmtId="2" fontId="5" fillId="0" borderId="0" xfId="0" applyNumberFormat="1" applyFont="1" applyFill="1" applyBorder="1" applyAlignment="1" applyProtection="1">
      <alignment horizontal="center"/>
      <protection/>
    </xf>
    <xf numFmtId="2" fontId="11" fillId="0" borderId="0" xfId="0" applyNumberFormat="1" applyFont="1" applyFill="1" applyBorder="1" applyAlignment="1" applyProtection="1">
      <alignment horizontal="left"/>
      <protection/>
    </xf>
    <xf numFmtId="2" fontId="5" fillId="0" borderId="31" xfId="0" applyNumberFormat="1" applyFont="1" applyFill="1" applyBorder="1" applyAlignment="1" applyProtection="1">
      <alignment horizontal="right"/>
      <protection/>
    </xf>
    <xf numFmtId="0" fontId="0" fillId="13" borderId="0" xfId="0" applyFont="1" applyFill="1" applyBorder="1" applyAlignment="1">
      <alignment/>
    </xf>
    <xf numFmtId="0" fontId="5" fillId="0" borderId="41" xfId="0" applyFont="1" applyFill="1" applyBorder="1" applyAlignment="1" applyProtection="1">
      <alignment horizontal="center"/>
      <protection/>
    </xf>
    <xf numFmtId="2" fontId="5" fillId="0" borderId="33" xfId="0" applyNumberFormat="1" applyFont="1" applyFill="1" applyBorder="1" applyAlignment="1" applyProtection="1">
      <alignment horizontal="center"/>
      <protection/>
    </xf>
    <xf numFmtId="2" fontId="5" fillId="0" borderId="42" xfId="0" applyNumberFormat="1" applyFont="1" applyFill="1" applyBorder="1" applyAlignment="1" applyProtection="1">
      <alignment horizontal="right"/>
      <protection/>
    </xf>
    <xf numFmtId="2" fontId="5" fillId="0" borderId="42" xfId="0" applyNumberFormat="1" applyFont="1" applyFill="1" applyBorder="1" applyAlignment="1" applyProtection="1">
      <alignment horizontal="center"/>
      <protection/>
    </xf>
    <xf numFmtId="2" fontId="5" fillId="0" borderId="42" xfId="0" applyNumberFormat="1" applyFont="1" applyFill="1" applyBorder="1" applyAlignment="1" applyProtection="1">
      <alignment horizontal="right" vertical="center"/>
      <protection/>
    </xf>
    <xf numFmtId="2" fontId="5" fillId="0" borderId="43" xfId="0" applyNumberFormat="1" applyFont="1" applyFill="1" applyBorder="1" applyAlignment="1" applyProtection="1">
      <alignment horizontal="center"/>
      <protection/>
    </xf>
    <xf numFmtId="2" fontId="5" fillId="0" borderId="12" xfId="0" applyNumberFormat="1" applyFont="1" applyFill="1" applyBorder="1" applyAlignment="1" applyProtection="1">
      <alignment horizontal="center" vertical="top"/>
      <protection/>
    </xf>
    <xf numFmtId="2" fontId="5" fillId="0" borderId="12" xfId="0" applyNumberFormat="1" applyFont="1" applyFill="1" applyBorder="1" applyAlignment="1" applyProtection="1">
      <alignment horizontal="center" vertical="center"/>
      <protection/>
    </xf>
    <xf numFmtId="0" fontId="14" fillId="0" borderId="12" xfId="0" applyFont="1" applyFill="1" applyBorder="1" applyAlignment="1" applyProtection="1">
      <alignment/>
      <protection/>
    </xf>
    <xf numFmtId="2" fontId="5" fillId="0" borderId="44" xfId="0" applyNumberFormat="1" applyFont="1" applyFill="1" applyBorder="1" applyAlignment="1" applyProtection="1">
      <alignment horizontal="right"/>
      <protection/>
    </xf>
    <xf numFmtId="0" fontId="2" fillId="0" borderId="12" xfId="0" applyFont="1" applyFill="1" applyBorder="1" applyAlignment="1" applyProtection="1">
      <alignment/>
      <protection/>
    </xf>
    <xf numFmtId="2" fontId="5" fillId="0" borderId="12" xfId="0" applyNumberFormat="1" applyFont="1" applyFill="1" applyBorder="1" applyAlignment="1" applyProtection="1">
      <alignment/>
      <protection/>
    </xf>
    <xf numFmtId="2" fontId="5" fillId="0" borderId="14" xfId="0" applyNumberFormat="1" applyFont="1" applyFill="1" applyBorder="1" applyAlignment="1" applyProtection="1">
      <alignment horizontal="center"/>
      <protection/>
    </xf>
    <xf numFmtId="2" fontId="5" fillId="0" borderId="32" xfId="0" applyNumberFormat="1" applyFont="1" applyFill="1" applyBorder="1" applyAlignment="1" applyProtection="1">
      <alignment horizontal="center"/>
      <protection/>
    </xf>
    <xf numFmtId="2" fontId="5" fillId="0" borderId="16" xfId="0" applyNumberFormat="1" applyFont="1" applyFill="1" applyBorder="1" applyAlignment="1" applyProtection="1">
      <alignment horizontal="center"/>
      <protection/>
    </xf>
    <xf numFmtId="2" fontId="5" fillId="0" borderId="14" xfId="0" applyNumberFormat="1" applyFont="1" applyFill="1" applyBorder="1" applyAlignment="1" applyProtection="1">
      <alignment horizontal="center" vertical="center"/>
      <protection/>
    </xf>
    <xf numFmtId="0" fontId="2" fillId="0" borderId="16" xfId="0" applyFont="1" applyFill="1" applyBorder="1" applyAlignment="1">
      <alignment horizontal="center"/>
    </xf>
    <xf numFmtId="2" fontId="5" fillId="0" borderId="14" xfId="0" applyNumberFormat="1" applyFont="1" applyFill="1" applyBorder="1" applyAlignment="1" applyProtection="1">
      <alignment horizontal="center" vertical="top"/>
      <protection/>
    </xf>
    <xf numFmtId="2" fontId="11" fillId="0" borderId="14" xfId="0" applyNumberFormat="1" applyFont="1" applyFill="1" applyBorder="1" applyAlignment="1" applyProtection="1">
      <alignment horizontal="center"/>
      <protection/>
    </xf>
    <xf numFmtId="2" fontId="5" fillId="0" borderId="32" xfId="0" applyNumberFormat="1" applyFont="1" applyFill="1" applyBorder="1" applyAlignment="1" applyProtection="1">
      <alignment horizontal="center"/>
      <protection/>
    </xf>
    <xf numFmtId="173" fontId="5" fillId="0" borderId="14" xfId="0" applyNumberFormat="1" applyFont="1" applyFill="1" applyBorder="1" applyAlignment="1" applyProtection="1">
      <alignment horizontal="center"/>
      <protection/>
    </xf>
    <xf numFmtId="173" fontId="5" fillId="0" borderId="32" xfId="0" applyNumberFormat="1" applyFont="1" applyFill="1" applyBorder="1" applyAlignment="1" applyProtection="1">
      <alignment horizontal="center"/>
      <protection/>
    </xf>
    <xf numFmtId="173" fontId="5" fillId="0" borderId="14" xfId="0" applyNumberFormat="1" applyFont="1" applyFill="1" applyBorder="1" applyAlignment="1">
      <alignment horizontal="center"/>
    </xf>
    <xf numFmtId="0" fontId="5" fillId="0" borderId="32" xfId="0" applyFont="1" applyFill="1" applyBorder="1" applyAlignment="1">
      <alignment horizontal="center"/>
    </xf>
    <xf numFmtId="0" fontId="5" fillId="0" borderId="16" xfId="0" applyFont="1" applyFill="1" applyBorder="1" applyAlignment="1" applyProtection="1">
      <alignment horizontal="center"/>
      <protection/>
    </xf>
    <xf numFmtId="0" fontId="5" fillId="0" borderId="45" xfId="0" applyFont="1" applyBorder="1" applyAlignment="1" applyProtection="1">
      <alignment/>
      <protection/>
    </xf>
    <xf numFmtId="0" fontId="5" fillId="0" borderId="1" xfId="0" applyFont="1" applyBorder="1" applyAlignment="1" applyProtection="1">
      <alignment horizontal="center"/>
      <protection/>
    </xf>
    <xf numFmtId="0" fontId="5" fillId="0" borderId="27" xfId="0" applyFont="1" applyBorder="1" applyAlignment="1" applyProtection="1">
      <alignment horizontal="center" vertical="center"/>
      <protection/>
    </xf>
    <xf numFmtId="0" fontId="5" fillId="0" borderId="34" xfId="0" applyFont="1" applyBorder="1" applyAlignment="1" applyProtection="1">
      <alignment horizontal="center"/>
      <protection/>
    </xf>
    <xf numFmtId="0" fontId="5" fillId="0" borderId="15" xfId="0" applyFont="1" applyBorder="1" applyAlignment="1" applyProtection="1">
      <alignment horizontal="center"/>
      <protection/>
    </xf>
    <xf numFmtId="0" fontId="5" fillId="0" borderId="1" xfId="0" applyFont="1" applyBorder="1" applyAlignment="1" applyProtection="1">
      <alignment horizontal="center" vertical="center"/>
      <protection/>
    </xf>
    <xf numFmtId="0" fontId="5" fillId="0" borderId="34" xfId="0" applyFont="1" applyFill="1" applyBorder="1" applyAlignment="1" applyProtection="1">
      <alignment horizontal="center"/>
      <protection/>
    </xf>
    <xf numFmtId="0" fontId="2" fillId="0" borderId="1" xfId="0" applyFont="1" applyBorder="1" applyAlignment="1">
      <alignment/>
    </xf>
    <xf numFmtId="0" fontId="5" fillId="0" borderId="2" xfId="0" applyFont="1" applyBorder="1" applyAlignment="1" applyProtection="1">
      <alignment horizontal="center" vertical="top"/>
      <protection/>
    </xf>
    <xf numFmtId="0" fontId="2" fillId="0" borderId="2" xfId="0" applyFont="1" applyBorder="1" applyAlignment="1">
      <alignment/>
    </xf>
    <xf numFmtId="0" fontId="5" fillId="0" borderId="2" xfId="0" applyFont="1" applyBorder="1" applyAlignment="1" applyProtection="1">
      <alignment horizontal="center" vertical="center"/>
      <protection/>
    </xf>
    <xf numFmtId="2" fontId="11" fillId="0" borderId="2" xfId="0" applyNumberFormat="1" applyFont="1" applyBorder="1" applyAlignment="1" applyProtection="1">
      <alignment/>
      <protection/>
    </xf>
    <xf numFmtId="0" fontId="5" fillId="0" borderId="2" xfId="0" applyFont="1" applyBorder="1" applyAlignment="1" applyProtection="1">
      <alignment horizontal="center"/>
      <protection/>
    </xf>
    <xf numFmtId="2" fontId="5" fillId="0" borderId="1" xfId="0" applyNumberFormat="1" applyFont="1" applyFill="1" applyBorder="1" applyAlignment="1" applyProtection="1">
      <alignment/>
      <protection/>
    </xf>
    <xf numFmtId="0" fontId="5" fillId="0" borderId="1" xfId="0" applyFont="1" applyFill="1" applyBorder="1" applyAlignment="1" applyProtection="1">
      <alignment horizontal="center" vertical="center"/>
      <protection/>
    </xf>
    <xf numFmtId="0" fontId="5" fillId="0" borderId="1" xfId="0" applyFont="1" applyFill="1" applyBorder="1" applyAlignment="1" applyProtection="1">
      <alignment horizontal="center" vertical="top"/>
      <protection/>
    </xf>
    <xf numFmtId="0" fontId="10" fillId="0" borderId="1" xfId="0" applyFont="1" applyBorder="1" applyAlignment="1" applyProtection="1">
      <alignment horizontal="center"/>
      <protection/>
    </xf>
    <xf numFmtId="2" fontId="5" fillId="0" borderId="1" xfId="0" applyNumberFormat="1" applyFont="1" applyBorder="1" applyAlignment="1" applyProtection="1">
      <alignment/>
      <protection/>
    </xf>
    <xf numFmtId="10" fontId="5" fillId="0" borderId="11" xfId="0" applyNumberFormat="1" applyFont="1" applyFill="1" applyBorder="1" applyAlignment="1" applyProtection="1">
      <alignment horizontal="center"/>
      <protection/>
    </xf>
    <xf numFmtId="49" fontId="5" fillId="0" borderId="11"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right" vertical="center"/>
      <protection/>
    </xf>
    <xf numFmtId="10" fontId="5" fillId="0" borderId="46" xfId="0" applyNumberFormat="1" applyFont="1" applyFill="1" applyBorder="1" applyAlignment="1" applyProtection="1">
      <alignment horizontal="right"/>
      <protection/>
    </xf>
    <xf numFmtId="0" fontId="5" fillId="0" borderId="33" xfId="0" applyFont="1" applyFill="1" applyBorder="1" applyAlignment="1" applyProtection="1">
      <alignment horizontal="right"/>
      <protection/>
    </xf>
    <xf numFmtId="10" fontId="5" fillId="0" borderId="6" xfId="0" applyNumberFormat="1" applyFont="1" applyFill="1" applyBorder="1" applyAlignment="1" applyProtection="1">
      <alignment horizontal="right"/>
      <protection/>
    </xf>
    <xf numFmtId="0" fontId="5" fillId="0" borderId="7" xfId="0" applyFont="1" applyFill="1" applyBorder="1" applyAlignment="1" applyProtection="1">
      <alignment horizontal="right"/>
      <protection/>
    </xf>
    <xf numFmtId="10" fontId="5" fillId="0" borderId="11" xfId="0" applyNumberFormat="1" applyFont="1" applyFill="1" applyBorder="1" applyAlignment="1" applyProtection="1">
      <alignment horizontal="right" vertical="center"/>
      <protection/>
    </xf>
    <xf numFmtId="0" fontId="5" fillId="0" borderId="12" xfId="0" applyFont="1" applyFill="1" applyBorder="1" applyAlignment="1" applyProtection="1">
      <alignment horizontal="right" vertical="center"/>
      <protection/>
    </xf>
    <xf numFmtId="10" fontId="2" fillId="0" borderId="11" xfId="0" applyNumberFormat="1" applyFont="1" applyFill="1" applyBorder="1" applyAlignment="1">
      <alignment horizontal="right"/>
    </xf>
    <xf numFmtId="0" fontId="5" fillId="0" borderId="47" xfId="0" applyFont="1" applyFill="1" applyBorder="1" applyAlignment="1" applyProtection="1">
      <alignment horizontal="right" vertical="center"/>
      <protection/>
    </xf>
    <xf numFmtId="10" fontId="5" fillId="0" borderId="11" xfId="0" applyNumberFormat="1" applyFont="1" applyFill="1" applyBorder="1" applyAlignment="1" applyProtection="1">
      <alignment horizontal="right" vertical="top"/>
      <protection/>
    </xf>
    <xf numFmtId="0" fontId="5" fillId="0" borderId="12" xfId="0" applyFont="1" applyFill="1" applyBorder="1" applyAlignment="1" applyProtection="1">
      <alignment horizontal="right" vertical="top"/>
      <protection/>
    </xf>
    <xf numFmtId="10" fontId="11" fillId="0" borderId="11" xfId="0" applyNumberFormat="1" applyFont="1" applyFill="1" applyBorder="1" applyAlignment="1" applyProtection="1">
      <alignment horizontal="right"/>
      <protection/>
    </xf>
    <xf numFmtId="0" fontId="11" fillId="0" borderId="12" xfId="0" applyFont="1" applyFill="1" applyBorder="1" applyAlignment="1" applyProtection="1">
      <alignment/>
      <protection/>
    </xf>
    <xf numFmtId="0" fontId="5" fillId="0" borderId="12" xfId="0" applyFont="1" applyFill="1" applyBorder="1" applyAlignment="1" applyProtection="1">
      <alignment/>
      <protection/>
    </xf>
    <xf numFmtId="0" fontId="0" fillId="13" borderId="47" xfId="0" applyFont="1" applyFill="1" applyBorder="1" applyAlignment="1">
      <alignment/>
    </xf>
    <xf numFmtId="10" fontId="10" fillId="0" borderId="11" xfId="0" applyNumberFormat="1" applyFont="1" applyFill="1" applyBorder="1" applyAlignment="1" applyProtection="1">
      <alignment horizontal="right"/>
      <protection/>
    </xf>
    <xf numFmtId="10" fontId="5" fillId="0" borderId="11" xfId="0" applyNumberFormat="1" applyFont="1" applyFill="1" applyBorder="1" applyAlignment="1">
      <alignment horizontal="right"/>
    </xf>
    <xf numFmtId="0" fontId="5" fillId="2" borderId="11" xfId="0" applyFont="1" applyFill="1" applyBorder="1" applyAlignment="1" applyProtection="1">
      <alignment horizontal="center"/>
      <protection/>
    </xf>
    <xf numFmtId="0" fontId="5" fillId="0" borderId="10" xfId="0" applyFont="1" applyFill="1" applyBorder="1" applyAlignment="1">
      <alignment horizontal="center"/>
    </xf>
    <xf numFmtId="0" fontId="5" fillId="0" borderId="14" xfId="0" applyFont="1" applyFill="1" applyBorder="1" applyAlignment="1" applyProtection="1">
      <alignment horizontal="center" vertical="top" wrapText="1"/>
      <protection/>
    </xf>
    <xf numFmtId="0" fontId="5" fillId="0" borderId="32" xfId="0" applyFont="1" applyFill="1" applyBorder="1" applyAlignment="1" applyProtection="1">
      <alignment horizontal="center"/>
      <protection/>
    </xf>
    <xf numFmtId="0" fontId="5" fillId="0" borderId="14" xfId="0" applyFont="1" applyFill="1" applyBorder="1" applyAlignment="1" applyProtection="1">
      <alignment horizontal="center" vertical="center"/>
      <protection/>
    </xf>
    <xf numFmtId="0" fontId="2" fillId="0" borderId="10" xfId="0" applyFont="1" applyBorder="1" applyAlignment="1">
      <alignment/>
    </xf>
    <xf numFmtId="0" fontId="2" fillId="0" borderId="16" xfId="0" applyFont="1" applyFill="1" applyBorder="1" applyAlignment="1">
      <alignment/>
    </xf>
    <xf numFmtId="0" fontId="11" fillId="0" borderId="14"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0" fontId="0" fillId="0" borderId="14" xfId="0" applyFont="1" applyBorder="1" applyAlignment="1">
      <alignment/>
    </xf>
    <xf numFmtId="0" fontId="5" fillId="0" borderId="32"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2" fontId="5" fillId="3" borderId="12" xfId="0" applyNumberFormat="1" applyFont="1" applyFill="1" applyBorder="1" applyAlignment="1" applyProtection="1">
      <alignment horizontal="right"/>
      <protection/>
    </xf>
    <xf numFmtId="0" fontId="5" fillId="0" borderId="10" xfId="0" applyFont="1" applyFill="1" applyBorder="1" applyAlignment="1" applyProtection="1">
      <alignment horizontal="center" vertical="top" wrapText="1"/>
      <protection/>
    </xf>
    <xf numFmtId="0" fontId="5" fillId="0" borderId="14" xfId="0" applyFont="1" applyFill="1" applyBorder="1" applyAlignment="1" applyProtection="1">
      <alignment horizontal="center" vertical="top"/>
      <protection/>
    </xf>
    <xf numFmtId="2" fontId="11" fillId="0" borderId="14" xfId="0" applyNumberFormat="1" applyFont="1" applyFill="1" applyBorder="1" applyAlignment="1" applyProtection="1">
      <alignment horizontal="right"/>
      <protection/>
    </xf>
    <xf numFmtId="2" fontId="5" fillId="0" borderId="14" xfId="0" applyNumberFormat="1" applyFont="1" applyFill="1" applyBorder="1" applyAlignment="1" applyProtection="1">
      <alignment horizontal="right"/>
      <protection/>
    </xf>
    <xf numFmtId="1" fontId="1" fillId="8" borderId="0" xfId="0" applyNumberFormat="1" applyFont="1" applyFill="1" applyBorder="1" applyAlignment="1" applyProtection="1">
      <alignment/>
      <protection/>
    </xf>
    <xf numFmtId="1" fontId="1" fillId="0" borderId="0" xfId="0" applyNumberFormat="1" applyFont="1" applyFill="1" applyBorder="1" applyAlignment="1" applyProtection="1">
      <alignment horizontal="right"/>
      <protection/>
    </xf>
    <xf numFmtId="0" fontId="2" fillId="0" borderId="0" xfId="0" applyFont="1" applyFill="1" applyBorder="1" applyAlignment="1" applyProtection="1">
      <alignment horizontal="center"/>
      <protection/>
    </xf>
    <xf numFmtId="1" fontId="1" fillId="0" borderId="0" xfId="0" applyNumberFormat="1" applyFont="1" applyFill="1" applyBorder="1" applyAlignment="1" applyProtection="1">
      <alignment horizontal="right"/>
      <protection/>
    </xf>
    <xf numFmtId="0" fontId="2" fillId="0" borderId="0" xfId="0" applyFont="1" applyFill="1" applyBorder="1" applyAlignment="1" applyProtection="1">
      <alignment horizontal="center"/>
      <protection/>
    </xf>
    <xf numFmtId="2" fontId="5" fillId="0" borderId="48" xfId="0" applyNumberFormat="1" applyFont="1" applyFill="1" applyBorder="1" applyAlignment="1" applyProtection="1">
      <alignment/>
      <protection/>
    </xf>
    <xf numFmtId="2" fontId="5" fillId="0" borderId="48" xfId="0" applyNumberFormat="1" applyFont="1" applyFill="1" applyBorder="1" applyAlignment="1" applyProtection="1">
      <alignment horizontal="right"/>
      <protection/>
    </xf>
    <xf numFmtId="2" fontId="5" fillId="0" borderId="49" xfId="0" applyNumberFormat="1" applyFont="1" applyFill="1" applyBorder="1" applyAlignment="1" applyProtection="1">
      <alignment/>
      <protection/>
    </xf>
    <xf numFmtId="2" fontId="5" fillId="0" borderId="50" xfId="0" applyNumberFormat="1" applyFont="1" applyFill="1" applyBorder="1" applyAlignment="1" applyProtection="1">
      <alignment/>
      <protection/>
    </xf>
    <xf numFmtId="2" fontId="5" fillId="0" borderId="50" xfId="0" applyNumberFormat="1" applyFont="1" applyFill="1" applyBorder="1" applyAlignment="1" applyProtection="1">
      <alignment horizontal="right"/>
      <protection/>
    </xf>
    <xf numFmtId="2"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protection/>
    </xf>
    <xf numFmtId="2" fontId="5" fillId="0" borderId="48" xfId="0" applyNumberFormat="1" applyFont="1" applyFill="1" applyBorder="1" applyAlignment="1" applyProtection="1">
      <alignment horizontal="right"/>
      <protection/>
    </xf>
    <xf numFmtId="0" fontId="0" fillId="0" borderId="10" xfId="0" applyFont="1" applyFill="1" applyBorder="1" applyAlignment="1">
      <alignment/>
    </xf>
    <xf numFmtId="0" fontId="2" fillId="0" borderId="0" xfId="0" applyFont="1" applyFill="1" applyBorder="1" applyAlignment="1" applyProtection="1">
      <alignment/>
      <protection/>
    </xf>
    <xf numFmtId="0" fontId="5" fillId="3" borderId="26" xfId="0" applyNumberFormat="1" applyFont="1" applyFill="1" applyBorder="1" applyAlignment="1" applyProtection="1">
      <alignment horizontal="center" vertical="center"/>
      <protection/>
    </xf>
    <xf numFmtId="0" fontId="5" fillId="0" borderId="14" xfId="0" applyFont="1" applyFill="1" applyBorder="1" applyAlignment="1" applyProtection="1">
      <alignment horizontal="justify" vertical="top" wrapText="1"/>
      <protection/>
    </xf>
    <xf numFmtId="0" fontId="25" fillId="9" borderId="7" xfId="0" applyFont="1" applyFill="1" applyBorder="1" applyAlignment="1" applyProtection="1">
      <alignment horizontal="center"/>
      <protection/>
    </xf>
    <xf numFmtId="0" fontId="0" fillId="10" borderId="31" xfId="0" applyFont="1" applyFill="1" applyBorder="1" applyAlignment="1">
      <alignment/>
    </xf>
    <xf numFmtId="0" fontId="0" fillId="10" borderId="0" xfId="0" applyFont="1" applyFill="1" applyBorder="1" applyAlignment="1">
      <alignment/>
    </xf>
    <xf numFmtId="0" fontId="0" fillId="0" borderId="0" xfId="0" applyFont="1" applyFill="1" applyBorder="1" applyAlignment="1">
      <alignment/>
    </xf>
    <xf numFmtId="172" fontId="8" fillId="0" borderId="14" xfId="0" applyNumberFormat="1" applyFont="1" applyBorder="1" applyAlignment="1" applyProtection="1">
      <alignment wrapText="1"/>
      <protection/>
    </xf>
    <xf numFmtId="49" fontId="5" fillId="0" borderId="14" xfId="0" applyNumberFormat="1" applyFont="1" applyBorder="1" applyAlignment="1" applyProtection="1">
      <alignment wrapText="1"/>
      <protection/>
    </xf>
    <xf numFmtId="2" fontId="5" fillId="0" borderId="50" xfId="0" applyNumberFormat="1" applyFont="1" applyFill="1" applyBorder="1" applyAlignment="1" applyProtection="1">
      <alignment horizontal="right"/>
      <protection/>
    </xf>
    <xf numFmtId="2" fontId="5" fillId="0" borderId="50" xfId="0" applyNumberFormat="1" applyFont="1" applyFill="1" applyBorder="1" applyAlignment="1" applyProtection="1">
      <alignment horizontal="center" vertical="top"/>
      <protection/>
    </xf>
    <xf numFmtId="2" fontId="5" fillId="0" borderId="51" xfId="0" applyNumberFormat="1" applyFont="1" applyFill="1" applyBorder="1" applyAlignment="1" applyProtection="1">
      <alignment horizontal="right"/>
      <protection/>
    </xf>
    <xf numFmtId="2" fontId="5" fillId="0" borderId="51" xfId="0" applyNumberFormat="1" applyFont="1" applyFill="1" applyBorder="1" applyAlignment="1" applyProtection="1">
      <alignment horizontal="center" vertical="top"/>
      <protection/>
    </xf>
    <xf numFmtId="2" fontId="5" fillId="0" borderId="52" xfId="0" applyNumberFormat="1" applyFont="1" applyFill="1" applyBorder="1" applyAlignment="1" applyProtection="1">
      <alignment horizontal="right"/>
      <protection/>
    </xf>
    <xf numFmtId="172" fontId="3" fillId="0" borderId="3" xfId="0" applyNumberFormat="1" applyFont="1" applyFill="1" applyBorder="1" applyAlignment="1" applyProtection="1">
      <alignment horizontal="center"/>
      <protection/>
    </xf>
    <xf numFmtId="0" fontId="3" fillId="0" borderId="3" xfId="0" applyFont="1" applyFill="1" applyBorder="1" applyAlignment="1" applyProtection="1">
      <alignment horizontal="center"/>
      <protection/>
    </xf>
    <xf numFmtId="0" fontId="3" fillId="8" borderId="3" xfId="0" applyFont="1" applyFill="1" applyBorder="1" applyAlignment="1" applyProtection="1">
      <alignment horizontal="center"/>
      <protection/>
    </xf>
    <xf numFmtId="10" fontId="5" fillId="0" borderId="38" xfId="0" applyNumberFormat="1" applyFont="1" applyFill="1" applyBorder="1" applyAlignment="1" applyProtection="1">
      <alignment horizontal="center" vertical="center"/>
      <protection/>
    </xf>
    <xf numFmtId="10" fontId="5" fillId="0" borderId="47" xfId="0" applyNumberFormat="1" applyFont="1" applyFill="1" applyBorder="1" applyAlignment="1" applyProtection="1">
      <alignment horizontal="center" vertical="center"/>
      <protection/>
    </xf>
    <xf numFmtId="172" fontId="5" fillId="0" borderId="53" xfId="0" applyNumberFormat="1" applyFont="1" applyFill="1" applyBorder="1" applyAlignment="1" applyProtection="1">
      <alignment horizontal="center" vertical="center"/>
      <protection/>
    </xf>
    <xf numFmtId="172" fontId="5" fillId="0" borderId="54" xfId="0" applyNumberFormat="1" applyFont="1" applyFill="1" applyBorder="1" applyAlignment="1" applyProtection="1">
      <alignment horizontal="center" vertical="center"/>
      <protection/>
    </xf>
    <xf numFmtId="172" fontId="5" fillId="0" borderId="55" xfId="0" applyNumberFormat="1" applyFont="1" applyFill="1" applyBorder="1" applyAlignment="1" applyProtection="1">
      <alignment horizontal="center" vertical="center"/>
      <protection/>
    </xf>
    <xf numFmtId="172" fontId="5" fillId="0" borderId="15" xfId="0" applyNumberFormat="1" applyFont="1" applyFill="1" applyBorder="1" applyAlignment="1" applyProtection="1">
      <alignment horizontal="center"/>
      <protection/>
    </xf>
    <xf numFmtId="172" fontId="5" fillId="0" borderId="17" xfId="0" applyNumberFormat="1" applyFont="1" applyFill="1" applyBorder="1" applyAlignment="1" applyProtection="1">
      <alignment horizontal="center"/>
      <protection/>
    </xf>
    <xf numFmtId="2" fontId="5" fillId="0" borderId="4" xfId="0" applyNumberFormat="1" applyFont="1" applyFill="1" applyBorder="1" applyAlignment="1" applyProtection="1">
      <alignment horizontal="center"/>
      <protection/>
    </xf>
    <xf numFmtId="2" fontId="5" fillId="0" borderId="56" xfId="0" applyNumberFormat="1" applyFont="1" applyFill="1" applyBorder="1" applyAlignment="1" applyProtection="1">
      <alignment horizontal="center"/>
      <protection/>
    </xf>
    <xf numFmtId="172" fontId="5" fillId="3" borderId="0" xfId="0" applyNumberFormat="1" applyFont="1" applyFill="1" applyBorder="1" applyAlignment="1" applyProtection="1">
      <alignment horizontal="center"/>
      <protection/>
    </xf>
    <xf numFmtId="172" fontId="5" fillId="0" borderId="1" xfId="0" applyNumberFormat="1" applyFont="1" applyFill="1" applyBorder="1" applyAlignment="1" applyProtection="1">
      <alignment horizontal="center"/>
      <protection/>
    </xf>
    <xf numFmtId="172" fontId="5" fillId="0" borderId="0" xfId="0" applyNumberFormat="1" applyFont="1" applyFill="1" applyBorder="1" applyAlignment="1" applyProtection="1">
      <alignment horizontal="center"/>
      <protection/>
    </xf>
    <xf numFmtId="0" fontId="25" fillId="12" borderId="7" xfId="0"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O5621"/>
  <sheetViews>
    <sheetView tabSelected="1" workbookViewId="0" topLeftCell="A68">
      <selection activeCell="A69" sqref="A69:IV69"/>
    </sheetView>
  </sheetViews>
  <sheetFormatPr defaultColWidth="11.421875" defaultRowHeight="12.75"/>
  <cols>
    <col min="1" max="1" width="3.7109375" style="1" customWidth="1"/>
    <col min="2" max="2" width="15.28125" style="1" customWidth="1"/>
    <col min="3" max="3" width="60.140625" style="1" customWidth="1"/>
    <col min="4" max="4" width="5.28125" style="2" customWidth="1"/>
    <col min="5" max="5" width="4.7109375" style="3" customWidth="1"/>
    <col min="6" max="6" width="2.7109375" style="1" customWidth="1"/>
    <col min="7" max="8" width="0" style="4" hidden="1" customWidth="1"/>
    <col min="9" max="9" width="7.57421875" style="2" customWidth="1"/>
    <col min="10" max="10" width="5.421875" style="2" customWidth="1"/>
    <col min="11" max="12" width="0" style="5" hidden="1" customWidth="1"/>
    <col min="13" max="13" width="5.421875" style="6" customWidth="1"/>
    <col min="14" max="14" width="2.57421875" style="7" customWidth="1"/>
    <col min="15" max="15" width="4.8515625" style="6" customWidth="1"/>
    <col min="16" max="16" width="5.8515625" style="6" customWidth="1"/>
    <col min="17" max="18" width="5.421875" style="6" customWidth="1"/>
    <col min="19" max="19" width="2.00390625" style="8" customWidth="1"/>
    <col min="20" max="20" width="4.00390625" style="9" hidden="1" customWidth="1"/>
    <col min="21" max="21" width="4.00390625" style="10" hidden="1" customWidth="1"/>
    <col min="22" max="22" width="5.421875" style="11" hidden="1" customWidth="1"/>
    <col min="23" max="24" width="4.8515625" style="12" hidden="1" customWidth="1"/>
    <col min="25" max="25" width="4.8515625" style="13" hidden="1" customWidth="1"/>
    <col min="26" max="26" width="4.00390625" style="13" hidden="1" customWidth="1"/>
    <col min="27" max="27" width="3.8515625" style="13" hidden="1" customWidth="1"/>
    <col min="28" max="28" width="3.57421875" style="14" hidden="1" customWidth="1"/>
    <col min="29" max="29" width="4.140625" style="14" hidden="1" customWidth="1"/>
    <col min="30" max="30" width="25.421875" style="7" hidden="1" customWidth="1"/>
    <col min="31" max="31" width="17.8515625" style="7" hidden="1" customWidth="1"/>
    <col min="32" max="32" width="10.421875" style="7" hidden="1" customWidth="1"/>
    <col min="33" max="33" width="12.7109375" style="7" hidden="1" customWidth="1"/>
    <col min="34" max="34" width="9.421875" style="7" hidden="1" customWidth="1"/>
    <col min="35" max="38" width="0" style="7" hidden="1" customWidth="1"/>
    <col min="39" max="39" width="12.140625" style="7" hidden="1" customWidth="1"/>
    <col min="40" max="40" width="10.57421875" style="7" hidden="1" customWidth="1"/>
    <col min="41" max="41" width="21.57421875" style="7" hidden="1" customWidth="1"/>
    <col min="42" max="42" width="30.7109375" style="7" hidden="1" customWidth="1"/>
    <col min="43" max="43" width="10.57421875" style="7" hidden="1" customWidth="1"/>
    <col min="44" max="44" width="16.57421875" style="7" hidden="1" customWidth="1"/>
    <col min="45" max="45" width="23.57421875" style="7" hidden="1" customWidth="1"/>
    <col min="46" max="46" width="9.28125" style="7" hidden="1" customWidth="1"/>
    <col min="47" max="47" width="11.8515625" style="7" hidden="1" customWidth="1"/>
    <col min="48" max="48" width="5.8515625" style="7" hidden="1" customWidth="1"/>
    <col min="49" max="49" width="0" style="7" hidden="1" customWidth="1"/>
    <col min="50" max="50" width="8.421875" style="7" hidden="1" customWidth="1"/>
    <col min="51" max="51" width="6.28125" style="7" hidden="1" customWidth="1"/>
    <col min="52" max="52" width="4.421875" style="7" hidden="1" customWidth="1"/>
    <col min="53" max="53" width="0" style="7" hidden="1" customWidth="1"/>
    <col min="54" max="54" width="16.7109375" style="7" hidden="1" customWidth="1"/>
    <col min="55" max="55" width="14.140625" style="7" hidden="1" customWidth="1"/>
    <col min="56" max="56" width="6.28125" style="7" hidden="1" customWidth="1"/>
    <col min="57" max="57" width="10.140625" style="7" hidden="1" customWidth="1"/>
    <col min="58" max="58" width="0" style="7" hidden="1" customWidth="1"/>
    <col min="59" max="60" width="11.421875" style="7" customWidth="1"/>
    <col min="61" max="92" width="11.28125" style="7" customWidth="1"/>
    <col min="93" max="16384" width="11.00390625" style="1" customWidth="1"/>
  </cols>
  <sheetData>
    <row r="1" spans="4:59" ht="12.75">
      <c r="D1" s="1"/>
      <c r="E1" s="15"/>
      <c r="I1" s="1"/>
      <c r="J1" s="1"/>
      <c r="M1" s="7"/>
      <c r="O1" s="7"/>
      <c r="P1" s="7"/>
      <c r="Q1" s="7"/>
      <c r="R1" s="7"/>
      <c r="S1" s="7"/>
      <c r="V1" s="16"/>
      <c r="W1" s="17"/>
      <c r="X1" s="17"/>
      <c r="Y1" s="18"/>
      <c r="Z1" s="18"/>
      <c r="AA1" s="18"/>
      <c r="AB1" s="19"/>
      <c r="AC1" s="20"/>
      <c r="AD1" s="21"/>
      <c r="AE1" s="22"/>
      <c r="AF1" s="22"/>
      <c r="AG1" s="22"/>
      <c r="AH1" s="22"/>
      <c r="AI1" s="22"/>
      <c r="AJ1" s="23"/>
      <c r="AK1" s="22"/>
      <c r="AL1" s="750" t="s">
        <v>714</v>
      </c>
      <c r="AM1" s="750"/>
      <c r="AN1" s="23"/>
      <c r="AO1" s="750" t="s">
        <v>715</v>
      </c>
      <c r="AP1" s="750"/>
      <c r="AQ1" s="22"/>
      <c r="AR1" s="751" t="s">
        <v>716</v>
      </c>
      <c r="AS1" s="751"/>
      <c r="AT1" s="24"/>
      <c r="AU1" s="24"/>
      <c r="AV1" s="22"/>
      <c r="AW1" s="25"/>
      <c r="AX1" s="26"/>
      <c r="AY1" s="27"/>
      <c r="AZ1" s="28"/>
      <c r="BA1" s="752" t="s">
        <v>717</v>
      </c>
      <c r="BB1" s="752"/>
      <c r="BC1" s="22"/>
      <c r="BD1" s="22"/>
      <c r="BE1" s="29"/>
      <c r="BF1" s="30"/>
      <c r="BG1" s="31"/>
    </row>
    <row r="2" spans="4:59" ht="13.5" thickBot="1">
      <c r="D2" s="1"/>
      <c r="E2" s="15"/>
      <c r="I2" s="1"/>
      <c r="J2" s="1"/>
      <c r="M2" s="7"/>
      <c r="O2" s="7"/>
      <c r="P2" s="7"/>
      <c r="Q2" s="7"/>
      <c r="R2" s="7"/>
      <c r="S2" s="7"/>
      <c r="V2" s="16"/>
      <c r="W2" s="17"/>
      <c r="X2" s="17"/>
      <c r="Y2" s="32" t="s">
        <v>718</v>
      </c>
      <c r="Z2" s="32" t="s">
        <v>719</v>
      </c>
      <c r="AA2" s="32"/>
      <c r="AB2" s="19"/>
      <c r="AC2" s="20"/>
      <c r="AD2" s="21"/>
      <c r="AE2" s="22"/>
      <c r="AF2" s="22"/>
      <c r="AG2" s="22"/>
      <c r="AH2" s="22"/>
      <c r="AI2" s="22"/>
      <c r="AJ2" s="23"/>
      <c r="AK2" s="22"/>
      <c r="AL2" s="27" t="s">
        <v>720</v>
      </c>
      <c r="AM2" s="33">
        <v>0.047</v>
      </c>
      <c r="AN2" s="23"/>
      <c r="AO2" s="27" t="s">
        <v>721</v>
      </c>
      <c r="AP2" s="34">
        <v>39.5</v>
      </c>
      <c r="AQ2" s="22"/>
      <c r="AR2" s="35" t="s">
        <v>722</v>
      </c>
      <c r="AS2" s="34">
        <v>58.92</v>
      </c>
      <c r="AT2" s="35"/>
      <c r="AU2" s="36"/>
      <c r="AV2" s="22"/>
      <c r="AW2" s="25"/>
      <c r="AX2" s="34"/>
      <c r="AY2" s="27"/>
      <c r="AZ2" s="37"/>
      <c r="BA2" s="38" t="s">
        <v>723</v>
      </c>
      <c r="BB2" s="39"/>
      <c r="BC2" s="22"/>
      <c r="BD2" s="22"/>
      <c r="BE2" s="40"/>
      <c r="BF2" s="41"/>
      <c r="BG2" s="31"/>
    </row>
    <row r="3" spans="1:59" ht="12.75">
      <c r="A3" s="42" t="s">
        <v>724</v>
      </c>
      <c r="B3" s="43" t="s">
        <v>725</v>
      </c>
      <c r="C3" s="44"/>
      <c r="D3" s="668"/>
      <c r="E3" s="753" t="s">
        <v>726</v>
      </c>
      <c r="F3" s="754"/>
      <c r="G3" s="45" t="s">
        <v>727</v>
      </c>
      <c r="H3" s="46"/>
      <c r="I3" s="706" t="s">
        <v>728</v>
      </c>
      <c r="J3" s="718" t="s">
        <v>729</v>
      </c>
      <c r="K3" s="47" t="s">
        <v>730</v>
      </c>
      <c r="L3" s="48"/>
      <c r="M3" s="755" t="s">
        <v>731</v>
      </c>
      <c r="N3" s="756"/>
      <c r="O3" s="756"/>
      <c r="P3" s="756"/>
      <c r="Q3" s="756"/>
      <c r="R3" s="757"/>
      <c r="S3" s="49"/>
      <c r="T3" s="50"/>
      <c r="U3" s="51"/>
      <c r="V3" s="52"/>
      <c r="W3" s="53"/>
      <c r="X3" s="53"/>
      <c r="Y3" s="54"/>
      <c r="Z3" s="54"/>
      <c r="AA3" s="54"/>
      <c r="AB3" s="19"/>
      <c r="AC3" s="55"/>
      <c r="AD3" s="21"/>
      <c r="AE3" s="22"/>
      <c r="AF3" s="22"/>
      <c r="AG3" s="22"/>
      <c r="AH3" s="22"/>
      <c r="AI3" s="22"/>
      <c r="AJ3" s="23"/>
      <c r="AK3" s="22"/>
      <c r="AL3" s="27" t="s">
        <v>732</v>
      </c>
      <c r="AM3" s="33">
        <v>0.047</v>
      </c>
      <c r="AN3" s="23"/>
      <c r="AO3" s="27" t="s">
        <v>733</v>
      </c>
      <c r="AP3" s="34">
        <v>39.5</v>
      </c>
      <c r="AQ3" s="22"/>
      <c r="AR3" s="35" t="s">
        <v>734</v>
      </c>
      <c r="AS3" s="34">
        <v>32.36</v>
      </c>
      <c r="AT3" s="36"/>
      <c r="AU3" s="36"/>
      <c r="AV3" s="22"/>
      <c r="AW3" s="25" t="s">
        <v>735</v>
      </c>
      <c r="AX3" s="56">
        <v>3.811</v>
      </c>
      <c r="AY3" s="27" t="s">
        <v>736</v>
      </c>
      <c r="AZ3" s="57" t="s">
        <v>737</v>
      </c>
      <c r="BA3" s="58" t="s">
        <v>738</v>
      </c>
      <c r="BB3" s="59">
        <v>0.45</v>
      </c>
      <c r="BC3" s="22"/>
      <c r="BD3" s="22"/>
      <c r="BE3" s="60"/>
      <c r="BF3" s="61"/>
      <c r="BG3" s="31"/>
    </row>
    <row r="4" spans="1:59" ht="12.75">
      <c r="A4" s="62" t="s">
        <v>739</v>
      </c>
      <c r="B4" s="63"/>
      <c r="C4" s="64" t="s">
        <v>740</v>
      </c>
      <c r="D4" s="669" t="s">
        <v>741</v>
      </c>
      <c r="E4" s="686" t="s">
        <v>742</v>
      </c>
      <c r="F4" s="92"/>
      <c r="G4" s="65" t="s">
        <v>743</v>
      </c>
      <c r="H4" s="65"/>
      <c r="I4" s="707" t="s">
        <v>744</v>
      </c>
      <c r="J4" s="64" t="s">
        <v>745</v>
      </c>
      <c r="K4" s="66" t="s">
        <v>746</v>
      </c>
      <c r="L4" s="67"/>
      <c r="M4" s="758" t="s">
        <v>747</v>
      </c>
      <c r="N4" s="759"/>
      <c r="O4" s="667"/>
      <c r="P4" s="183" t="s">
        <v>748</v>
      </c>
      <c r="Q4" s="760" t="s">
        <v>749</v>
      </c>
      <c r="R4" s="761"/>
      <c r="S4" s="69"/>
      <c r="T4" s="70" t="s">
        <v>750</v>
      </c>
      <c r="U4" s="71"/>
      <c r="V4" s="72" t="s">
        <v>751</v>
      </c>
      <c r="W4" s="73" t="s">
        <v>752</v>
      </c>
      <c r="X4" s="73"/>
      <c r="Y4" s="54"/>
      <c r="Z4" s="54"/>
      <c r="AA4" s="54"/>
      <c r="AB4" s="19"/>
      <c r="AC4" s="55"/>
      <c r="AD4" s="21"/>
      <c r="AE4" s="22"/>
      <c r="AF4" s="22"/>
      <c r="AG4" s="22"/>
      <c r="AH4" s="22"/>
      <c r="AI4" s="74"/>
      <c r="AJ4" s="22"/>
      <c r="AK4" s="22"/>
      <c r="AL4" s="27" t="s">
        <v>753</v>
      </c>
      <c r="AM4" s="33">
        <v>0.035</v>
      </c>
      <c r="AN4" s="23"/>
      <c r="AO4" s="27" t="s">
        <v>754</v>
      </c>
      <c r="AP4" s="34">
        <v>39.5</v>
      </c>
      <c r="AQ4" s="22"/>
      <c r="AR4" s="75" t="s">
        <v>755</v>
      </c>
      <c r="AS4" s="76">
        <v>63.96</v>
      </c>
      <c r="AT4" s="36"/>
      <c r="AU4" s="36"/>
      <c r="AV4" s="22"/>
      <c r="AW4" s="22"/>
      <c r="AX4" s="22"/>
      <c r="AY4" s="22"/>
      <c r="AZ4" s="37"/>
      <c r="BA4" s="58" t="s">
        <v>756</v>
      </c>
      <c r="BB4" s="77"/>
      <c r="BC4" s="22"/>
      <c r="BD4" s="22"/>
      <c r="BE4" s="60"/>
      <c r="BF4" s="61"/>
      <c r="BG4" s="31"/>
    </row>
    <row r="5" spans="1:59" ht="12.75">
      <c r="A5" s="62" t="s">
        <v>757</v>
      </c>
      <c r="B5" s="63" t="s">
        <v>758</v>
      </c>
      <c r="C5" s="78"/>
      <c r="D5" s="669"/>
      <c r="E5" s="686" t="s">
        <v>759</v>
      </c>
      <c r="F5" s="92"/>
      <c r="G5" s="79" t="s">
        <v>760</v>
      </c>
      <c r="H5" s="80" t="s">
        <v>761</v>
      </c>
      <c r="I5" s="64" t="s">
        <v>762</v>
      </c>
      <c r="J5" s="64" t="s">
        <v>763</v>
      </c>
      <c r="K5" s="762" t="s">
        <v>764</v>
      </c>
      <c r="L5" s="762"/>
      <c r="M5" s="763" t="s">
        <v>765</v>
      </c>
      <c r="N5" s="764"/>
      <c r="O5" s="64" t="s">
        <v>766</v>
      </c>
      <c r="P5" s="183" t="s">
        <v>767</v>
      </c>
      <c r="Q5" s="82" t="s">
        <v>768</v>
      </c>
      <c r="R5" s="83" t="s">
        <v>769</v>
      </c>
      <c r="S5" s="84"/>
      <c r="T5" s="85" t="s">
        <v>770</v>
      </c>
      <c r="U5" s="86"/>
      <c r="V5" s="87" t="s">
        <v>771</v>
      </c>
      <c r="W5" s="88" t="s">
        <v>772</v>
      </c>
      <c r="X5" s="88"/>
      <c r="Y5" s="54"/>
      <c r="Z5" s="54"/>
      <c r="AA5" s="54"/>
      <c r="AB5" s="19"/>
      <c r="AC5" s="55"/>
      <c r="AD5" s="21"/>
      <c r="AE5" s="22"/>
      <c r="AF5" s="22"/>
      <c r="AG5" s="22"/>
      <c r="AH5" s="22"/>
      <c r="AI5" s="74"/>
      <c r="AJ5" s="22"/>
      <c r="AK5" s="22"/>
      <c r="AL5" s="27" t="s">
        <v>773</v>
      </c>
      <c r="AM5" s="33">
        <v>0.03</v>
      </c>
      <c r="AN5" s="23"/>
      <c r="AO5" s="27" t="s">
        <v>774</v>
      </c>
      <c r="AP5" s="34">
        <v>37.75</v>
      </c>
      <c r="AQ5" s="22"/>
      <c r="AR5" s="89"/>
      <c r="AS5" s="90"/>
      <c r="AT5" s="36"/>
      <c r="AU5" s="36"/>
      <c r="AV5" s="22"/>
      <c r="AW5" s="22"/>
      <c r="AX5" s="22"/>
      <c r="AY5" s="22"/>
      <c r="AZ5" s="37"/>
      <c r="BA5" s="58"/>
      <c r="BB5" s="77"/>
      <c r="BC5" s="22"/>
      <c r="BD5" s="22"/>
      <c r="BE5" s="60"/>
      <c r="BF5" s="61"/>
      <c r="BG5" s="31"/>
    </row>
    <row r="6" spans="1:59" ht="12.75">
      <c r="A6" s="62" t="s">
        <v>775</v>
      </c>
      <c r="B6" s="63"/>
      <c r="C6" s="91"/>
      <c r="D6" s="669"/>
      <c r="E6" s="687" t="s">
        <v>776</v>
      </c>
      <c r="F6" s="92"/>
      <c r="G6" s="93" t="s">
        <v>777</v>
      </c>
      <c r="H6" s="94" t="s">
        <v>778</v>
      </c>
      <c r="I6" s="176" t="s">
        <v>779</v>
      </c>
      <c r="J6" s="64" t="s">
        <v>780</v>
      </c>
      <c r="K6" s="762" t="str">
        <f>"(2)"</f>
        <v>(2)</v>
      </c>
      <c r="L6" s="762"/>
      <c r="M6" s="763" t="s">
        <v>781</v>
      </c>
      <c r="N6" s="764"/>
      <c r="O6" s="64"/>
      <c r="P6" s="183" t="s">
        <v>782</v>
      </c>
      <c r="Q6" s="95" t="s">
        <v>783</v>
      </c>
      <c r="R6" s="96"/>
      <c r="S6" s="84"/>
      <c r="T6" s="85"/>
      <c r="U6" s="86"/>
      <c r="V6" s="87"/>
      <c r="W6" s="88"/>
      <c r="X6" s="88"/>
      <c r="Y6" s="97"/>
      <c r="Z6" s="97"/>
      <c r="AA6" s="97"/>
      <c r="AB6" s="19"/>
      <c r="AC6" s="55"/>
      <c r="AD6" s="21"/>
      <c r="AE6" s="21"/>
      <c r="AF6" s="21"/>
      <c r="AG6" s="21"/>
      <c r="AH6" s="21"/>
      <c r="AI6" s="21"/>
      <c r="AJ6" s="21"/>
      <c r="AK6" s="21"/>
      <c r="AL6" s="27" t="s">
        <v>784</v>
      </c>
      <c r="AM6" s="33">
        <v>0.037</v>
      </c>
      <c r="AN6" s="98"/>
      <c r="AO6" s="27" t="s">
        <v>785</v>
      </c>
      <c r="AP6" s="34">
        <v>39.5</v>
      </c>
      <c r="AQ6" s="21"/>
      <c r="AR6" s="99"/>
      <c r="AS6" s="100"/>
      <c r="AT6" s="101"/>
      <c r="AU6" s="101"/>
      <c r="AV6" s="21"/>
      <c r="AW6" s="21"/>
      <c r="AX6" s="21"/>
      <c r="AY6" s="21"/>
      <c r="AZ6" s="102"/>
      <c r="BA6" s="103" t="s">
        <v>786</v>
      </c>
      <c r="BB6" s="77"/>
      <c r="BC6" s="22"/>
      <c r="BD6" s="21"/>
      <c r="BE6" s="104"/>
      <c r="BF6" s="105"/>
      <c r="BG6" s="31"/>
    </row>
    <row r="7" spans="1:59" ht="12.75">
      <c r="A7" s="106" t="s">
        <v>787</v>
      </c>
      <c r="B7" s="63"/>
      <c r="C7" s="91"/>
      <c r="D7" s="669"/>
      <c r="E7" s="432"/>
      <c r="F7" s="111"/>
      <c r="G7" s="108"/>
      <c r="H7" s="109"/>
      <c r="I7" s="64" t="s">
        <v>788</v>
      </c>
      <c r="J7" s="64"/>
      <c r="K7" s="66"/>
      <c r="L7" s="66"/>
      <c r="M7" s="110"/>
      <c r="N7" s="107"/>
      <c r="O7" s="64"/>
      <c r="P7" s="643"/>
      <c r="Q7" s="95"/>
      <c r="R7" s="96"/>
      <c r="S7" s="84"/>
      <c r="T7" s="85"/>
      <c r="U7" s="86"/>
      <c r="V7" s="87"/>
      <c r="W7" s="88"/>
      <c r="X7" s="88"/>
      <c r="Y7" s="18"/>
      <c r="Z7" s="18"/>
      <c r="AA7" s="18"/>
      <c r="AB7" s="19"/>
      <c r="AC7" s="55"/>
      <c r="AD7" s="112"/>
      <c r="AE7" s="31"/>
      <c r="AF7" s="31"/>
      <c r="AG7" s="31"/>
      <c r="AH7" s="22"/>
      <c r="AI7" s="22"/>
      <c r="AJ7" s="22"/>
      <c r="AK7" s="22"/>
      <c r="AL7" s="35" t="s">
        <v>789</v>
      </c>
      <c r="AM7" s="113">
        <v>0.007</v>
      </c>
      <c r="AN7" s="22"/>
      <c r="AO7" s="27" t="s">
        <v>790</v>
      </c>
      <c r="AP7" s="34">
        <v>37.75</v>
      </c>
      <c r="AQ7" s="22"/>
      <c r="AR7" s="35" t="s">
        <v>791</v>
      </c>
      <c r="AS7" s="114">
        <v>5.66</v>
      </c>
      <c r="AT7" s="101"/>
      <c r="AU7" s="101"/>
      <c r="AV7" s="22"/>
      <c r="AW7" s="22"/>
      <c r="AX7" s="22"/>
      <c r="AY7" s="22"/>
      <c r="AZ7" s="37"/>
      <c r="BA7" s="115" t="s">
        <v>792</v>
      </c>
      <c r="BB7" s="116"/>
      <c r="BC7" s="22"/>
      <c r="BD7" s="22"/>
      <c r="BE7" s="117"/>
      <c r="BF7" s="118"/>
      <c r="BG7" s="31"/>
    </row>
    <row r="8" spans="1:59" ht="26.25" customHeight="1">
      <c r="A8" s="119"/>
      <c r="B8" s="120">
        <v>1</v>
      </c>
      <c r="C8" s="121">
        <v>2</v>
      </c>
      <c r="D8" s="670">
        <v>3</v>
      </c>
      <c r="E8" s="688">
        <v>4</v>
      </c>
      <c r="F8" s="126"/>
      <c r="G8" s="123">
        <v>4</v>
      </c>
      <c r="H8" s="124">
        <v>5</v>
      </c>
      <c r="I8" s="121">
        <v>5</v>
      </c>
      <c r="J8" s="121">
        <v>6</v>
      </c>
      <c r="K8" s="737">
        <v>6</v>
      </c>
      <c r="L8" s="737"/>
      <c r="M8" s="125" t="str">
        <f>"        7"</f>
        <v>        7</v>
      </c>
      <c r="N8" s="122"/>
      <c r="O8" s="121">
        <v>8</v>
      </c>
      <c r="P8" s="635">
        <v>9</v>
      </c>
      <c r="Q8" s="127">
        <v>11</v>
      </c>
      <c r="R8" s="128">
        <v>12</v>
      </c>
      <c r="S8" s="129"/>
      <c r="T8" s="130"/>
      <c r="U8" s="131"/>
      <c r="V8" s="132"/>
      <c r="W8" s="133"/>
      <c r="X8" s="133"/>
      <c r="Y8" s="18"/>
      <c r="Z8" s="18"/>
      <c r="AA8" s="18"/>
      <c r="AB8" s="19"/>
      <c r="AC8" s="134"/>
      <c r="AD8" s="112"/>
      <c r="AE8" s="31"/>
      <c r="AF8" s="31"/>
      <c r="AG8" s="31"/>
      <c r="AH8" s="135"/>
      <c r="AI8" s="135"/>
      <c r="AJ8" s="135"/>
      <c r="AK8" s="135"/>
      <c r="AL8" s="35" t="s">
        <v>793</v>
      </c>
      <c r="AM8" s="33">
        <v>0.022</v>
      </c>
      <c r="AN8" s="135"/>
      <c r="AO8" s="27" t="s">
        <v>794</v>
      </c>
      <c r="AP8" s="34">
        <v>38.35</v>
      </c>
      <c r="AQ8" s="22"/>
      <c r="AR8" s="35" t="s">
        <v>795</v>
      </c>
      <c r="AS8" s="34">
        <v>41.69</v>
      </c>
      <c r="AT8" s="36"/>
      <c r="AU8" s="36"/>
      <c r="AV8" s="135"/>
      <c r="AW8" s="135"/>
      <c r="AX8" s="135"/>
      <c r="AY8" s="135"/>
      <c r="AZ8" s="57" t="s">
        <v>796</v>
      </c>
      <c r="BA8" s="38" t="s">
        <v>797</v>
      </c>
      <c r="BB8" s="136">
        <v>0.45</v>
      </c>
      <c r="BC8" s="22"/>
      <c r="BD8" s="135"/>
      <c r="BE8" s="117"/>
      <c r="BF8" s="118"/>
      <c r="BG8" s="31"/>
    </row>
    <row r="9" spans="1:59" ht="12.75">
      <c r="A9" s="62"/>
      <c r="B9" s="74"/>
      <c r="C9" s="137"/>
      <c r="D9" s="669"/>
      <c r="E9" s="432"/>
      <c r="F9" s="140"/>
      <c r="G9" s="108"/>
      <c r="H9" s="109"/>
      <c r="I9" s="64"/>
      <c r="J9" s="64"/>
      <c r="K9" s="139"/>
      <c r="L9" s="139"/>
      <c r="M9" s="248"/>
      <c r="N9" s="138"/>
      <c r="O9" s="64"/>
      <c r="P9" s="140"/>
      <c r="Q9" s="729"/>
      <c r="R9" s="727"/>
      <c r="S9" s="49"/>
      <c r="T9" s="50"/>
      <c r="U9" s="51"/>
      <c r="V9" s="52"/>
      <c r="W9" s="53"/>
      <c r="X9" s="53"/>
      <c r="Y9" s="141"/>
      <c r="Z9" s="141"/>
      <c r="AA9" s="18"/>
      <c r="AB9" s="19"/>
      <c r="AC9" s="142" t="s">
        <v>798</v>
      </c>
      <c r="AD9" s="112"/>
      <c r="AE9" s="31"/>
      <c r="AF9" s="31"/>
      <c r="AG9" s="31"/>
      <c r="AH9" s="22"/>
      <c r="AI9" s="135"/>
      <c r="AJ9" s="135"/>
      <c r="AK9" s="135"/>
      <c r="AL9" s="25" t="s">
        <v>799</v>
      </c>
      <c r="AM9" s="33">
        <v>0.022</v>
      </c>
      <c r="AN9" s="135"/>
      <c r="AO9" s="27" t="s">
        <v>800</v>
      </c>
      <c r="AP9" s="34">
        <v>19.27</v>
      </c>
      <c r="AQ9" s="22"/>
      <c r="AR9" s="35" t="s">
        <v>801</v>
      </c>
      <c r="AS9" s="34">
        <v>1.85</v>
      </c>
      <c r="AT9" s="36"/>
      <c r="AU9" s="36"/>
      <c r="AV9" s="135"/>
      <c r="AW9" s="135"/>
      <c r="AX9" s="135"/>
      <c r="AY9" s="135"/>
      <c r="AZ9" s="37"/>
      <c r="BA9" s="115" t="s">
        <v>802</v>
      </c>
      <c r="BB9" s="116"/>
      <c r="BC9" s="22"/>
      <c r="BD9" s="135"/>
      <c r="BE9" s="117"/>
      <c r="BF9" s="118"/>
      <c r="BG9" s="31"/>
    </row>
    <row r="10" spans="1:59" ht="21" customHeight="1">
      <c r="A10" s="62"/>
      <c r="B10" s="74"/>
      <c r="C10" s="143" t="s">
        <v>803</v>
      </c>
      <c r="D10" s="669" t="s">
        <v>804</v>
      </c>
      <c r="E10" s="432"/>
      <c r="F10" s="140"/>
      <c r="G10" s="108"/>
      <c r="H10" s="109"/>
      <c r="I10" s="64"/>
      <c r="J10" s="64"/>
      <c r="K10" s="139"/>
      <c r="L10" s="139"/>
      <c r="M10" s="248"/>
      <c r="N10" s="138"/>
      <c r="O10" s="64"/>
      <c r="P10" s="140"/>
      <c r="Q10" s="730"/>
      <c r="R10" s="727"/>
      <c r="S10" s="49"/>
      <c r="T10" s="50"/>
      <c r="U10" s="51"/>
      <c r="V10" s="52"/>
      <c r="W10" s="53"/>
      <c r="X10" s="53"/>
      <c r="Y10" s="141"/>
      <c r="Z10" s="141"/>
      <c r="AA10" s="141"/>
      <c r="AB10" s="19"/>
      <c r="AC10" s="142" t="s">
        <v>805</v>
      </c>
      <c r="AD10" s="112"/>
      <c r="AE10" s="31"/>
      <c r="AF10" s="31"/>
      <c r="AG10" s="31"/>
      <c r="AH10" s="22"/>
      <c r="AI10" s="135"/>
      <c r="AJ10" s="135"/>
      <c r="AK10" s="135"/>
      <c r="AL10" s="27" t="s">
        <v>806</v>
      </c>
      <c r="AM10" s="33">
        <v>0.007</v>
      </c>
      <c r="AN10" s="135"/>
      <c r="AO10" s="27" t="s">
        <v>807</v>
      </c>
      <c r="AP10" s="34">
        <v>21.99</v>
      </c>
      <c r="AQ10" s="22"/>
      <c r="AR10" s="35"/>
      <c r="AS10" s="34"/>
      <c r="AT10" s="36"/>
      <c r="AU10" s="36"/>
      <c r="AV10" s="135"/>
      <c r="AW10" s="135"/>
      <c r="AX10" s="135"/>
      <c r="AY10" s="135"/>
      <c r="AZ10" s="57" t="s">
        <v>808</v>
      </c>
      <c r="BA10" s="144" t="s">
        <v>809</v>
      </c>
      <c r="BB10" s="145">
        <v>0.59</v>
      </c>
      <c r="BC10" s="22"/>
      <c r="BD10" s="135"/>
      <c r="BE10" s="117"/>
      <c r="BF10" s="118"/>
      <c r="BG10" s="31"/>
    </row>
    <row r="11" spans="1:59" ht="12.75">
      <c r="A11" s="146"/>
      <c r="B11" s="147"/>
      <c r="C11" s="147"/>
      <c r="D11" s="669"/>
      <c r="E11" s="432"/>
      <c r="F11" s="140"/>
      <c r="G11" s="108" t="s">
        <v>810</v>
      </c>
      <c r="H11" s="109" t="str">
        <f>P</f>
        <v>. . .</v>
      </c>
      <c r="I11" s="64"/>
      <c r="J11" s="64"/>
      <c r="K11" s="139"/>
      <c r="L11" s="139"/>
      <c r="M11" s="248"/>
      <c r="N11" s="638"/>
      <c r="O11" s="655"/>
      <c r="P11" s="234"/>
      <c r="Q11" s="731"/>
      <c r="R11" s="728"/>
      <c r="S11" s="49"/>
      <c r="T11" s="149"/>
      <c r="U11" s="150"/>
      <c r="V11" s="151"/>
      <c r="W11" s="152"/>
      <c r="X11" s="152"/>
      <c r="Y11" s="32">
        <v>9348</v>
      </c>
      <c r="Z11" s="32"/>
      <c r="AA11" s="141"/>
      <c r="AB11" s="19"/>
      <c r="AC11" s="142" t="s">
        <v>811</v>
      </c>
      <c r="AD11" s="112"/>
      <c r="AE11" s="31"/>
      <c r="AF11" s="31"/>
      <c r="AG11" s="31"/>
      <c r="AH11" s="31"/>
      <c r="AI11" s="31"/>
      <c r="AJ11" s="135"/>
      <c r="AK11" s="135"/>
      <c r="AL11" s="25" t="s">
        <v>812</v>
      </c>
      <c r="AM11" s="33">
        <v>0.022</v>
      </c>
      <c r="AN11" s="135"/>
      <c r="AO11" s="27" t="s">
        <v>813</v>
      </c>
      <c r="AP11" s="34">
        <v>38.85</v>
      </c>
      <c r="AQ11" s="22"/>
      <c r="AR11" s="35" t="s">
        <v>814</v>
      </c>
      <c r="AS11" s="34">
        <v>1.22</v>
      </c>
      <c r="AT11" s="36"/>
      <c r="AU11" s="36"/>
      <c r="AV11" s="135"/>
      <c r="AW11" s="135"/>
      <c r="AX11" s="135"/>
      <c r="AY11" s="135"/>
      <c r="AZ11" s="57" t="s">
        <v>815</v>
      </c>
      <c r="BA11" s="144" t="s">
        <v>816</v>
      </c>
      <c r="BB11" s="145">
        <v>0.65</v>
      </c>
      <c r="BC11" s="22"/>
      <c r="BD11" s="135"/>
      <c r="BE11" s="74"/>
      <c r="BF11" s="74"/>
      <c r="BG11" s="31"/>
    </row>
    <row r="12" spans="1:59" ht="18">
      <c r="A12" s="153">
        <v>1</v>
      </c>
      <c r="B12" s="154" t="s">
        <v>817</v>
      </c>
      <c r="C12" s="155" t="s">
        <v>818</v>
      </c>
      <c r="D12" s="669" t="str">
        <f>P</f>
        <v>. . .</v>
      </c>
      <c r="E12" s="432" t="s">
        <v>819</v>
      </c>
      <c r="F12" s="140"/>
      <c r="G12" s="108" t="s">
        <v>820</v>
      </c>
      <c r="H12" s="109" t="str">
        <f>P</f>
        <v>. . .</v>
      </c>
      <c r="I12" s="532">
        <f>VFFHS</f>
        <v>19.27</v>
      </c>
      <c r="J12" s="64" t="s">
        <v>821</v>
      </c>
      <c r="K12" s="139" t="s">
        <v>822</v>
      </c>
      <c r="L12" s="139"/>
      <c r="M12" s="248">
        <f>TIGH</f>
        <v>1.22</v>
      </c>
      <c r="N12" s="638"/>
      <c r="O12" s="655" t="str">
        <f>P</f>
        <v>. . .</v>
      </c>
      <c r="P12" s="234" t="str">
        <f>P</f>
        <v>. . .</v>
      </c>
      <c r="Q12" s="186">
        <f>TVAFLHTSMETRO</f>
        <v>4.270840000000001</v>
      </c>
      <c r="R12" s="186">
        <f>TVAFLHTSCORSE</f>
        <v>2.8327000000000004</v>
      </c>
      <c r="S12" s="156"/>
      <c r="T12" s="149">
        <v>5701</v>
      </c>
      <c r="U12" s="150"/>
      <c r="W12" s="157">
        <v>5902</v>
      </c>
      <c r="X12" s="157"/>
      <c r="Y12" s="141"/>
      <c r="Z12" s="141"/>
      <c r="AA12" s="32"/>
      <c r="AB12" s="19"/>
      <c r="AC12" s="142" t="s">
        <v>823</v>
      </c>
      <c r="AD12" s="112"/>
      <c r="AE12" s="31"/>
      <c r="AF12" s="31"/>
      <c r="AG12" s="31"/>
      <c r="AH12" s="22"/>
      <c r="AI12" s="135"/>
      <c r="AJ12" s="135"/>
      <c r="AK12" s="135"/>
      <c r="AL12" s="27" t="s">
        <v>824</v>
      </c>
      <c r="AM12" s="33">
        <v>0.046</v>
      </c>
      <c r="AN12" s="135"/>
      <c r="AO12" s="158" t="s">
        <v>825</v>
      </c>
      <c r="AP12" s="34">
        <v>34.14</v>
      </c>
      <c r="AQ12" s="22"/>
      <c r="AR12" s="35" t="s">
        <v>826</v>
      </c>
      <c r="AS12" s="34">
        <v>10.76</v>
      </c>
      <c r="AT12" s="36"/>
      <c r="AU12" s="36"/>
      <c r="AV12" s="135"/>
      <c r="AW12" s="135"/>
      <c r="AX12" s="135"/>
      <c r="AY12" s="135"/>
      <c r="AZ12" s="37"/>
      <c r="BA12" s="37" t="s">
        <v>827</v>
      </c>
      <c r="BB12" s="37"/>
      <c r="BC12" s="22"/>
      <c r="BD12" s="135"/>
      <c r="BE12" s="74"/>
      <c r="BF12" s="74"/>
      <c r="BG12" s="31"/>
    </row>
    <row r="13" spans="1:59" ht="12.75">
      <c r="A13" s="62">
        <v>2</v>
      </c>
      <c r="B13" s="74" t="s">
        <v>828</v>
      </c>
      <c r="C13" s="159" t="s">
        <v>829</v>
      </c>
      <c r="D13" s="669" t="str">
        <f>P</f>
        <v>. . .</v>
      </c>
      <c r="E13" s="432" t="s">
        <v>830</v>
      </c>
      <c r="F13" s="140"/>
      <c r="G13" s="108" t="s">
        <v>831</v>
      </c>
      <c r="H13" s="109" t="str">
        <f>P</f>
        <v>. . .</v>
      </c>
      <c r="I13" s="64" t="str">
        <f>"Réelle"</f>
        <v>Réelle</v>
      </c>
      <c r="J13" s="64" t="str">
        <f>P</f>
        <v>. . .</v>
      </c>
      <c r="K13" s="139" t="s">
        <v>832</v>
      </c>
      <c r="L13" s="139"/>
      <c r="M13" s="248" t="s">
        <v>833</v>
      </c>
      <c r="N13" s="638"/>
      <c r="O13" s="655" t="str">
        <f>P</f>
        <v>. . .</v>
      </c>
      <c r="P13" s="234" t="str">
        <f>P</f>
        <v>. . .</v>
      </c>
      <c r="Q13" s="186" t="str">
        <f>"(25)"</f>
        <v>(25)</v>
      </c>
      <c r="R13" s="186" t="str">
        <f>VI</f>
        <v>(25)</v>
      </c>
      <c r="S13" s="156"/>
      <c r="W13" s="12" t="str">
        <f>t</f>
        <v>TVO</v>
      </c>
      <c r="Y13" s="141"/>
      <c r="Z13" s="141"/>
      <c r="AA13" s="141"/>
      <c r="AB13" s="19"/>
      <c r="AC13" s="160" t="s">
        <v>834</v>
      </c>
      <c r="AD13" s="112"/>
      <c r="AE13" s="31"/>
      <c r="AF13" s="31"/>
      <c r="AG13" s="31"/>
      <c r="AH13" s="22"/>
      <c r="AI13" s="135"/>
      <c r="AJ13" s="135"/>
      <c r="AK13" s="135"/>
      <c r="AL13" s="27" t="s">
        <v>835</v>
      </c>
      <c r="AM13" s="33">
        <v>0.053</v>
      </c>
      <c r="AN13" s="135"/>
      <c r="AO13" s="27" t="s">
        <v>836</v>
      </c>
      <c r="AP13" s="34">
        <v>22.87</v>
      </c>
      <c r="AQ13" s="22"/>
      <c r="AR13" s="35" t="s">
        <v>837</v>
      </c>
      <c r="AS13" s="34">
        <v>8.47</v>
      </c>
      <c r="AT13" s="36"/>
      <c r="AU13" s="36"/>
      <c r="AV13" s="135"/>
      <c r="AW13" s="135"/>
      <c r="AX13" s="135"/>
      <c r="AY13" s="135"/>
      <c r="AZ13" s="74"/>
      <c r="BA13" s="161"/>
      <c r="BB13" s="162"/>
      <c r="BC13" s="22"/>
      <c r="BD13" s="135"/>
      <c r="BE13" s="22"/>
      <c r="BF13" s="22"/>
      <c r="BG13" s="31"/>
    </row>
    <row r="14" spans="1:59" ht="12.75">
      <c r="A14" s="62"/>
      <c r="B14" s="163"/>
      <c r="C14" s="164"/>
      <c r="D14" s="669"/>
      <c r="E14" s="432"/>
      <c r="F14" s="140"/>
      <c r="G14" s="108"/>
      <c r="H14" s="109"/>
      <c r="I14" s="64"/>
      <c r="J14" s="64"/>
      <c r="K14" s="139"/>
      <c r="L14" s="139"/>
      <c r="M14" s="248"/>
      <c r="N14" s="638"/>
      <c r="O14" s="655"/>
      <c r="P14" s="234"/>
      <c r="Q14" s="186"/>
      <c r="R14" s="186"/>
      <c r="S14" s="165"/>
      <c r="T14" s="149"/>
      <c r="U14" s="150"/>
      <c r="V14" s="151"/>
      <c r="W14" s="152"/>
      <c r="X14" s="152"/>
      <c r="Y14" s="141"/>
      <c r="Z14" s="141"/>
      <c r="AA14" s="141"/>
      <c r="AB14" s="19"/>
      <c r="AC14" s="134"/>
      <c r="AD14" s="112"/>
      <c r="AE14" s="31"/>
      <c r="AF14" s="31"/>
      <c r="AG14" s="31"/>
      <c r="AH14" s="22"/>
      <c r="AI14" s="135"/>
      <c r="AJ14" s="135"/>
      <c r="AK14" s="135"/>
      <c r="AL14" s="27" t="s">
        <v>838</v>
      </c>
      <c r="AM14" s="33">
        <v>0.058</v>
      </c>
      <c r="AN14" s="135"/>
      <c r="AO14" s="27" t="s">
        <v>839</v>
      </c>
      <c r="AP14" s="34">
        <v>37.75</v>
      </c>
      <c r="AQ14" s="22"/>
      <c r="AR14" s="35" t="s">
        <v>840</v>
      </c>
      <c r="AS14" s="34">
        <v>1.13</v>
      </c>
      <c r="AT14" s="36"/>
      <c r="AU14" s="36"/>
      <c r="AV14" s="135"/>
      <c r="AW14" s="135"/>
      <c r="AX14" s="135"/>
      <c r="AY14" s="135"/>
      <c r="AZ14" s="135"/>
      <c r="BA14" s="135"/>
      <c r="BB14" s="22"/>
      <c r="BC14" s="22"/>
      <c r="BD14" s="135"/>
      <c r="BE14" s="22"/>
      <c r="BF14" s="22"/>
      <c r="BG14" s="31"/>
    </row>
    <row r="15" spans="1:59" ht="30" customHeight="1">
      <c r="A15" s="62"/>
      <c r="B15" s="163"/>
      <c r="C15" s="164"/>
      <c r="D15" s="669"/>
      <c r="E15" s="432"/>
      <c r="F15" s="140"/>
      <c r="G15" s="108"/>
      <c r="H15" s="109"/>
      <c r="I15" s="64"/>
      <c r="J15" s="64"/>
      <c r="K15" s="139"/>
      <c r="L15" s="139"/>
      <c r="M15" s="248"/>
      <c r="N15" s="638"/>
      <c r="O15" s="655"/>
      <c r="P15" s="234"/>
      <c r="Q15" s="186"/>
      <c r="R15" s="186"/>
      <c r="S15" s="156"/>
      <c r="T15" s="149"/>
      <c r="U15" s="150"/>
      <c r="V15" s="151"/>
      <c r="W15" s="152"/>
      <c r="X15" s="152"/>
      <c r="Y15" s="141"/>
      <c r="Z15" s="141"/>
      <c r="AA15" s="141"/>
      <c r="AB15" s="19"/>
      <c r="AC15" s="134"/>
      <c r="AD15" s="112"/>
      <c r="AE15" s="31"/>
      <c r="AF15" s="31"/>
      <c r="AG15" s="31"/>
      <c r="AH15" s="22"/>
      <c r="AI15" s="135"/>
      <c r="AJ15" s="135"/>
      <c r="AK15" s="135"/>
      <c r="AL15" s="27" t="s">
        <v>841</v>
      </c>
      <c r="AM15" s="166">
        <v>0.063</v>
      </c>
      <c r="AN15" s="135"/>
      <c r="AO15" s="27" t="s">
        <v>842</v>
      </c>
      <c r="AP15" s="34">
        <v>15.24</v>
      </c>
      <c r="AQ15" s="22"/>
      <c r="AR15" s="27" t="s">
        <v>843</v>
      </c>
      <c r="AS15" s="167">
        <v>2.54</v>
      </c>
      <c r="AT15" s="168"/>
      <c r="AU15" s="168"/>
      <c r="AV15" s="135"/>
      <c r="AW15" s="135"/>
      <c r="AX15" s="135"/>
      <c r="AY15" s="135"/>
      <c r="AZ15" s="135"/>
      <c r="BA15" s="135"/>
      <c r="BB15" s="22"/>
      <c r="BC15" s="22"/>
      <c r="BD15" s="135"/>
      <c r="BE15" s="22"/>
      <c r="BF15" s="22"/>
      <c r="BG15" s="31"/>
    </row>
    <row r="16" spans="1:59" ht="12.75">
      <c r="A16" s="62"/>
      <c r="B16" s="163"/>
      <c r="C16" s="164"/>
      <c r="D16" s="669"/>
      <c r="E16" s="432"/>
      <c r="F16" s="140"/>
      <c r="G16" s="108"/>
      <c r="H16" s="109"/>
      <c r="I16" s="64"/>
      <c r="J16" s="64"/>
      <c r="K16" s="139"/>
      <c r="L16" s="139"/>
      <c r="M16" s="248"/>
      <c r="N16" s="638"/>
      <c r="O16" s="655"/>
      <c r="P16" s="234"/>
      <c r="Q16" s="186"/>
      <c r="R16" s="186"/>
      <c r="S16" s="156"/>
      <c r="T16" s="149"/>
      <c r="U16" s="150"/>
      <c r="V16" s="151"/>
      <c r="W16" s="152"/>
      <c r="X16" s="152"/>
      <c r="Y16" s="141"/>
      <c r="Z16" s="141"/>
      <c r="AA16" s="141"/>
      <c r="AB16" s="19"/>
      <c r="AC16" s="134"/>
      <c r="AD16" s="112"/>
      <c r="AE16" s="31"/>
      <c r="AF16" s="31"/>
      <c r="AG16" s="31"/>
      <c r="AH16" s="22"/>
      <c r="AI16" s="135"/>
      <c r="AJ16" s="135"/>
      <c r="AK16" s="135"/>
      <c r="AL16" s="27" t="s">
        <v>844</v>
      </c>
      <c r="AM16" s="169">
        <v>0.007</v>
      </c>
      <c r="AN16" s="135"/>
      <c r="AO16" s="27" t="s">
        <v>845</v>
      </c>
      <c r="AP16" s="34">
        <v>45.73</v>
      </c>
      <c r="AQ16" s="22"/>
      <c r="AR16" s="27" t="s">
        <v>846</v>
      </c>
      <c r="AS16" s="34">
        <v>4.68</v>
      </c>
      <c r="AT16" s="36"/>
      <c r="AU16" s="36"/>
      <c r="AV16" s="135"/>
      <c r="AW16" s="135"/>
      <c r="AX16" s="135"/>
      <c r="AY16" s="135"/>
      <c r="AZ16" s="135"/>
      <c r="BA16" s="135"/>
      <c r="BB16" s="22"/>
      <c r="BC16" s="22"/>
      <c r="BD16" s="135"/>
      <c r="BE16" s="22"/>
      <c r="BF16" s="22"/>
      <c r="BG16" s="31"/>
    </row>
    <row r="17" spans="1:59" ht="27">
      <c r="A17" s="62"/>
      <c r="B17" s="163"/>
      <c r="C17" s="143" t="s">
        <v>847</v>
      </c>
      <c r="D17" s="669"/>
      <c r="E17" s="432"/>
      <c r="F17" s="140"/>
      <c r="G17" s="108"/>
      <c r="H17" s="109"/>
      <c r="I17" s="64"/>
      <c r="J17" s="64"/>
      <c r="K17" s="139"/>
      <c r="L17" s="139"/>
      <c r="M17" s="248"/>
      <c r="N17" s="638"/>
      <c r="O17" s="655"/>
      <c r="P17" s="234"/>
      <c r="Q17" s="186"/>
      <c r="R17" s="186"/>
      <c r="S17" s="156"/>
      <c r="T17" s="149"/>
      <c r="U17" s="150"/>
      <c r="V17" s="151"/>
      <c r="W17" s="152"/>
      <c r="X17" s="152"/>
      <c r="Y17" s="141"/>
      <c r="Z17" s="141"/>
      <c r="AA17" s="141"/>
      <c r="AB17" s="19"/>
      <c r="AC17" s="134"/>
      <c r="AD17" s="112"/>
      <c r="AE17" s="31"/>
      <c r="AF17" s="31"/>
      <c r="AG17" s="31"/>
      <c r="AH17" s="22"/>
      <c r="AI17" s="135"/>
      <c r="AJ17" s="135"/>
      <c r="AK17" s="135"/>
      <c r="AL17" s="170" t="s">
        <v>848</v>
      </c>
      <c r="AM17" s="169">
        <v>0.007</v>
      </c>
      <c r="AN17" s="135"/>
      <c r="AO17" s="27" t="s">
        <v>849</v>
      </c>
      <c r="AP17" s="34">
        <v>91.47</v>
      </c>
      <c r="AQ17" s="22"/>
      <c r="AR17" s="27" t="s">
        <v>850</v>
      </c>
      <c r="AS17" s="27">
        <v>1.8</v>
      </c>
      <c r="AT17" s="74"/>
      <c r="AU17" s="74"/>
      <c r="AV17" s="135"/>
      <c r="AW17" s="135"/>
      <c r="AX17" s="171"/>
      <c r="AY17" s="135"/>
      <c r="AZ17" s="135"/>
      <c r="BA17" s="172"/>
      <c r="BB17" s="22"/>
      <c r="BC17" s="22"/>
      <c r="BD17" s="135"/>
      <c r="BE17" s="22"/>
      <c r="BF17" s="22"/>
      <c r="BG17" s="31"/>
    </row>
    <row r="18" spans="1:59" ht="12.75">
      <c r="A18" s="62"/>
      <c r="B18" s="163"/>
      <c r="C18" s="143"/>
      <c r="D18" s="669"/>
      <c r="E18" s="432"/>
      <c r="F18" s="140"/>
      <c r="G18" s="108"/>
      <c r="H18" s="109"/>
      <c r="I18" s="64"/>
      <c r="J18" s="64"/>
      <c r="K18" s="139"/>
      <c r="L18" s="139"/>
      <c r="M18" s="248"/>
      <c r="N18" s="638"/>
      <c r="O18" s="655"/>
      <c r="P18" s="234"/>
      <c r="Q18" s="186"/>
      <c r="R18" s="186"/>
      <c r="S18" s="156"/>
      <c r="T18" s="149"/>
      <c r="U18" s="150"/>
      <c r="V18" s="151"/>
      <c r="W18" s="152"/>
      <c r="X18" s="152"/>
      <c r="Y18" s="141"/>
      <c r="Z18" s="141"/>
      <c r="AA18" s="141"/>
      <c r="AB18" s="19"/>
      <c r="AC18" s="134"/>
      <c r="AD18" s="112"/>
      <c r="AE18" s="31"/>
      <c r="AF18" s="31"/>
      <c r="AG18" s="31"/>
      <c r="AH18" s="22"/>
      <c r="AI18" s="135"/>
      <c r="AJ18" s="135"/>
      <c r="AK18" s="135"/>
      <c r="AL18" s="170" t="s">
        <v>851</v>
      </c>
      <c r="AM18" s="169">
        <v>0.007</v>
      </c>
      <c r="AN18" s="135"/>
      <c r="AO18" s="27" t="s">
        <v>852</v>
      </c>
      <c r="AP18" s="34">
        <v>60.98</v>
      </c>
      <c r="AQ18" s="22"/>
      <c r="AR18" s="27" t="s">
        <v>853</v>
      </c>
      <c r="AS18" s="27">
        <v>24.54</v>
      </c>
      <c r="AT18" s="74"/>
      <c r="AU18" s="74"/>
      <c r="AV18" s="135"/>
      <c r="AW18" s="135"/>
      <c r="AX18" s="135"/>
      <c r="AY18" s="135"/>
      <c r="AZ18" s="135"/>
      <c r="BA18" s="172"/>
      <c r="BB18" s="22"/>
      <c r="BC18" s="22"/>
      <c r="BD18" s="135"/>
      <c r="BE18" s="22"/>
      <c r="BF18" s="22"/>
      <c r="BG18" s="31"/>
    </row>
    <row r="19" spans="1:59" ht="12.75">
      <c r="A19" s="62"/>
      <c r="B19" s="163"/>
      <c r="C19" s="143"/>
      <c r="D19" s="669"/>
      <c r="E19" s="432"/>
      <c r="F19" s="140"/>
      <c r="G19" s="108"/>
      <c r="H19" s="109"/>
      <c r="I19" s="64"/>
      <c r="J19" s="64"/>
      <c r="K19" s="139"/>
      <c r="L19" s="139"/>
      <c r="M19" s="248"/>
      <c r="N19" s="638"/>
      <c r="O19" s="655"/>
      <c r="P19" s="234"/>
      <c r="Q19" s="186"/>
      <c r="R19" s="186"/>
      <c r="S19" s="156"/>
      <c r="T19" s="149"/>
      <c r="U19" s="150"/>
      <c r="V19" s="151"/>
      <c r="W19" s="152"/>
      <c r="X19" s="152"/>
      <c r="Y19" s="141"/>
      <c r="Z19" s="141"/>
      <c r="AA19" s="141"/>
      <c r="AB19" s="19"/>
      <c r="AC19" s="134"/>
      <c r="AD19" s="112"/>
      <c r="AE19" s="31"/>
      <c r="AF19" s="31"/>
      <c r="AG19" s="31"/>
      <c r="AH19" s="22"/>
      <c r="AI19" s="135"/>
      <c r="AJ19" s="135"/>
      <c r="AK19" s="135"/>
      <c r="AL19" s="170" t="s">
        <v>854</v>
      </c>
      <c r="AM19" s="169">
        <v>0.065</v>
      </c>
      <c r="AN19" s="135"/>
      <c r="AO19" s="27" t="s">
        <v>855</v>
      </c>
      <c r="AP19" s="34">
        <v>106.71</v>
      </c>
      <c r="AQ19" s="135"/>
      <c r="AR19" s="22"/>
      <c r="AS19" s="22"/>
      <c r="AT19" s="22"/>
      <c r="AU19" s="22"/>
      <c r="AV19" s="135"/>
      <c r="AW19" s="135"/>
      <c r="AX19" s="135"/>
      <c r="AY19" s="135"/>
      <c r="AZ19" s="135"/>
      <c r="BA19" s="135"/>
      <c r="BB19" s="22"/>
      <c r="BC19" s="22"/>
      <c r="BD19" s="135"/>
      <c r="BE19" s="22"/>
      <c r="BF19" s="22"/>
      <c r="BG19" s="31"/>
    </row>
    <row r="20" spans="1:59" ht="12.75">
      <c r="A20" s="62"/>
      <c r="B20" s="163"/>
      <c r="C20" s="164"/>
      <c r="D20" s="669"/>
      <c r="E20" s="432"/>
      <c r="F20" s="140"/>
      <c r="G20" s="108"/>
      <c r="H20" s="109"/>
      <c r="I20" s="64"/>
      <c r="J20" s="64"/>
      <c r="K20" s="139"/>
      <c r="L20" s="139"/>
      <c r="M20" s="248"/>
      <c r="N20" s="638"/>
      <c r="O20" s="655"/>
      <c r="P20" s="234"/>
      <c r="Q20" s="186"/>
      <c r="R20" s="186"/>
      <c r="S20" s="156"/>
      <c r="T20" s="149"/>
      <c r="U20" s="150"/>
      <c r="V20" s="151"/>
      <c r="W20" s="152"/>
      <c r="X20" s="152"/>
      <c r="Y20" s="32"/>
      <c r="Z20" s="32"/>
      <c r="AA20" s="141"/>
      <c r="AB20" s="19"/>
      <c r="AC20" s="134"/>
      <c r="AD20" s="112"/>
      <c r="AE20" s="31"/>
      <c r="AF20" s="31"/>
      <c r="AG20" s="31"/>
      <c r="AH20" s="22"/>
      <c r="AI20" s="135"/>
      <c r="AJ20" s="135"/>
      <c r="AK20" s="135"/>
      <c r="AL20" s="158" t="s">
        <v>856</v>
      </c>
      <c r="AM20" s="173" t="s">
        <v>857</v>
      </c>
      <c r="AN20" s="135"/>
      <c r="AO20" s="27" t="s">
        <v>858</v>
      </c>
      <c r="AP20" s="34">
        <v>39.59</v>
      </c>
      <c r="AQ20" s="135"/>
      <c r="AR20" s="22"/>
      <c r="AS20" s="22"/>
      <c r="AT20" s="22"/>
      <c r="AU20" s="22"/>
      <c r="AV20" s="135"/>
      <c r="AW20" s="135"/>
      <c r="AX20" s="135"/>
      <c r="AY20" s="135"/>
      <c r="AZ20" s="135"/>
      <c r="BA20" s="135"/>
      <c r="BB20" s="22"/>
      <c r="BC20" s="22"/>
      <c r="BD20" s="135"/>
      <c r="BE20" s="22"/>
      <c r="BF20" s="22"/>
      <c r="BG20" s="31"/>
    </row>
    <row r="21" spans="1:59" ht="12.75">
      <c r="A21" s="62"/>
      <c r="B21" s="163"/>
      <c r="C21" s="159" t="s">
        <v>859</v>
      </c>
      <c r="D21" s="669"/>
      <c r="E21" s="432"/>
      <c r="F21" s="140"/>
      <c r="G21" s="108"/>
      <c r="H21" s="109"/>
      <c r="I21" s="64"/>
      <c r="J21" s="64"/>
      <c r="K21" s="139"/>
      <c r="L21" s="139"/>
      <c r="M21" s="248"/>
      <c r="N21" s="638"/>
      <c r="O21" s="655"/>
      <c r="P21" s="234"/>
      <c r="Q21" s="186"/>
      <c r="R21" s="186"/>
      <c r="S21" s="156"/>
      <c r="T21" s="149"/>
      <c r="U21" s="150"/>
      <c r="V21" s="151"/>
      <c r="W21" s="152"/>
      <c r="X21" s="152"/>
      <c r="Y21" s="32"/>
      <c r="Z21" s="32"/>
      <c r="AA21" s="32">
        <v>9345</v>
      </c>
      <c r="AB21" s="19"/>
      <c r="AC21" s="134"/>
      <c r="AD21" s="112"/>
      <c r="AE21" s="31"/>
      <c r="AF21" s="31"/>
      <c r="AG21" s="31"/>
      <c r="AH21" s="22"/>
      <c r="AI21" s="135"/>
      <c r="AJ21" s="135"/>
      <c r="AK21" s="135"/>
      <c r="AL21" s="174"/>
      <c r="AM21" s="175"/>
      <c r="AN21" s="135"/>
      <c r="AO21" s="135"/>
      <c r="AP21" s="135"/>
      <c r="AQ21" s="135"/>
      <c r="AR21" s="22"/>
      <c r="AS21" s="22"/>
      <c r="AT21" s="22"/>
      <c r="AU21" s="22"/>
      <c r="AV21" s="135"/>
      <c r="AW21" s="135"/>
      <c r="AX21" s="135"/>
      <c r="AY21" s="135"/>
      <c r="AZ21" s="135"/>
      <c r="BA21" s="135"/>
      <c r="BB21" s="22"/>
      <c r="BC21" s="22"/>
      <c r="BD21" s="135"/>
      <c r="BE21" s="135"/>
      <c r="BF21" s="135"/>
      <c r="BG21" s="31"/>
    </row>
    <row r="22" spans="1:59" ht="12.75">
      <c r="A22" s="62">
        <v>3</v>
      </c>
      <c r="B22" s="74" t="s">
        <v>860</v>
      </c>
      <c r="C22" s="176" t="s">
        <v>861</v>
      </c>
      <c r="D22" s="669" t="str">
        <f>P</f>
        <v>. . .</v>
      </c>
      <c r="E22" s="432">
        <v>0.03</v>
      </c>
      <c r="F22" s="140"/>
      <c r="G22" s="108"/>
      <c r="H22" s="109"/>
      <c r="I22" s="64" t="str">
        <f>R</f>
        <v>Réelle</v>
      </c>
      <c r="J22" s="64" t="s">
        <v>862</v>
      </c>
      <c r="K22" s="177">
        <v>0.03</v>
      </c>
      <c r="L22" s="139"/>
      <c r="M22" s="248" t="str">
        <f>"(9)"</f>
        <v>(9)</v>
      </c>
      <c r="N22" s="638"/>
      <c r="O22" s="655" t="str">
        <f>P</f>
        <v>. . .</v>
      </c>
      <c r="P22" s="234" t="str">
        <f>P</f>
        <v>. . .</v>
      </c>
      <c r="Q22" s="186" t="str">
        <f>VI</f>
        <v>(25)</v>
      </c>
      <c r="R22" s="186" t="str">
        <f>VI</f>
        <v>(25)</v>
      </c>
      <c r="S22" s="156"/>
      <c r="W22" s="73" t="s">
        <v>863</v>
      </c>
      <c r="X22" s="73"/>
      <c r="Y22" s="141">
        <v>4004</v>
      </c>
      <c r="Z22" s="141">
        <v>9348</v>
      </c>
      <c r="AA22" s="32">
        <v>9301</v>
      </c>
      <c r="AB22" s="19"/>
      <c r="AC22" s="134"/>
      <c r="AD22" s="112"/>
      <c r="AE22" s="31"/>
      <c r="AF22" s="31"/>
      <c r="AG22" s="31"/>
      <c r="AH22" s="22"/>
      <c r="AI22" s="135"/>
      <c r="AJ22" s="135"/>
      <c r="AK22" s="135"/>
      <c r="AL22" s="174"/>
      <c r="AM22" s="175"/>
      <c r="AN22" s="135"/>
      <c r="AO22" s="135"/>
      <c r="AP22" s="135"/>
      <c r="AQ22" s="135"/>
      <c r="AR22" s="22"/>
      <c r="AS22" s="22"/>
      <c r="AT22" s="22"/>
      <c r="AU22" s="22"/>
      <c r="AV22" s="135"/>
      <c r="AW22" s="135"/>
      <c r="AX22" s="135"/>
      <c r="AY22" s="135"/>
      <c r="AZ22" s="135"/>
      <c r="BA22" s="135"/>
      <c r="BB22" s="22"/>
      <c r="BC22" s="22"/>
      <c r="BD22" s="135"/>
      <c r="BE22" s="135"/>
      <c r="BF22" s="135"/>
      <c r="BG22" s="31"/>
    </row>
    <row r="23" spans="1:59" ht="12.75">
      <c r="A23" s="62">
        <v>4</v>
      </c>
      <c r="B23" s="74" t="s">
        <v>864</v>
      </c>
      <c r="C23" s="176" t="s">
        <v>865</v>
      </c>
      <c r="D23" s="669" t="str">
        <f>P</f>
        <v>. . .</v>
      </c>
      <c r="E23" s="432" t="s">
        <v>866</v>
      </c>
      <c r="F23" s="140"/>
      <c r="G23" s="108"/>
      <c r="H23" s="109"/>
      <c r="I23" s="64" t="str">
        <f>R</f>
        <v>Réelle</v>
      </c>
      <c r="J23" s="64" t="str">
        <f>P</f>
        <v>. . .</v>
      </c>
      <c r="K23" s="139" t="s">
        <v>867</v>
      </c>
      <c r="L23" s="139"/>
      <c r="M23" s="248" t="s">
        <v>868</v>
      </c>
      <c r="N23" s="638"/>
      <c r="O23" s="655" t="str">
        <f>P</f>
        <v>. . .</v>
      </c>
      <c r="P23" s="234" t="str">
        <f>P</f>
        <v>. . .</v>
      </c>
      <c r="Q23" s="186" t="str">
        <f>VI</f>
        <v>(25)</v>
      </c>
      <c r="R23" s="186" t="str">
        <f>VI</f>
        <v>(25)</v>
      </c>
      <c r="S23" s="165"/>
      <c r="V23" s="72"/>
      <c r="W23" s="73" t="s">
        <v>869</v>
      </c>
      <c r="X23" s="73"/>
      <c r="Y23" s="32">
        <v>4004</v>
      </c>
      <c r="Z23" s="32">
        <v>9348</v>
      </c>
      <c r="AA23" s="141">
        <v>9301</v>
      </c>
      <c r="AB23" s="19"/>
      <c r="AC23" s="134"/>
      <c r="AD23" s="112"/>
      <c r="AE23" s="31"/>
      <c r="AF23" s="31"/>
      <c r="AG23" s="31"/>
      <c r="AH23" s="22"/>
      <c r="AI23" s="135"/>
      <c r="AJ23" s="135"/>
      <c r="AK23" s="135"/>
      <c r="AL23" s="135"/>
      <c r="AM23" s="178"/>
      <c r="AN23" s="135"/>
      <c r="AO23" s="135"/>
      <c r="AP23" s="135"/>
      <c r="AQ23" s="135"/>
      <c r="AR23" s="22"/>
      <c r="AS23" s="22"/>
      <c r="AT23" s="22"/>
      <c r="AU23" s="22"/>
      <c r="AV23" s="135"/>
      <c r="AW23" s="135"/>
      <c r="AX23" s="135"/>
      <c r="AY23" s="135"/>
      <c r="AZ23" s="135"/>
      <c r="BA23" s="135"/>
      <c r="BB23" s="135"/>
      <c r="BC23" s="22"/>
      <c r="BD23" s="135"/>
      <c r="BE23" s="135"/>
      <c r="BF23" s="135"/>
      <c r="BG23" s="31"/>
    </row>
    <row r="24" spans="1:59" ht="12.75">
      <c r="A24" s="62"/>
      <c r="B24" s="163"/>
      <c r="C24" s="179"/>
      <c r="D24" s="669"/>
      <c r="E24" s="432"/>
      <c r="F24" s="140"/>
      <c r="G24" s="108"/>
      <c r="H24" s="109"/>
      <c r="I24" s="64"/>
      <c r="J24" s="64"/>
      <c r="K24" s="139"/>
      <c r="L24" s="139"/>
      <c r="M24" s="248"/>
      <c r="N24" s="638"/>
      <c r="O24" s="655"/>
      <c r="P24" s="234"/>
      <c r="Q24" s="186"/>
      <c r="R24" s="186"/>
      <c r="S24" s="165"/>
      <c r="T24" s="149"/>
      <c r="U24" s="150"/>
      <c r="V24" s="151"/>
      <c r="W24" s="152"/>
      <c r="X24" s="152"/>
      <c r="Y24" s="32"/>
      <c r="Z24" s="32"/>
      <c r="AA24" s="141"/>
      <c r="AB24" s="19"/>
      <c r="AC24" s="134"/>
      <c r="AD24" s="112"/>
      <c r="AE24" s="31"/>
      <c r="AF24" s="31"/>
      <c r="AG24" s="31"/>
      <c r="AH24" s="22"/>
      <c r="AI24" s="135"/>
      <c r="AJ24" s="135"/>
      <c r="AK24" s="135"/>
      <c r="AL24" s="135"/>
      <c r="AM24" s="135"/>
      <c r="AN24" s="135"/>
      <c r="AO24" s="135"/>
      <c r="AP24" s="135"/>
      <c r="AQ24" s="135"/>
      <c r="AR24" s="22"/>
      <c r="AS24" s="22"/>
      <c r="AT24" s="22"/>
      <c r="AU24" s="22"/>
      <c r="AV24" s="135"/>
      <c r="AW24" s="135"/>
      <c r="AX24" s="135"/>
      <c r="AY24" s="135"/>
      <c r="AZ24" s="135"/>
      <c r="BA24" s="135"/>
      <c r="BB24" s="135"/>
      <c r="BC24" s="22"/>
      <c r="BD24" s="135"/>
      <c r="BE24" s="135"/>
      <c r="BF24" s="135"/>
      <c r="BG24" s="31"/>
    </row>
    <row r="25" spans="1:59" ht="12.75">
      <c r="A25" s="62"/>
      <c r="B25" s="163"/>
      <c r="C25" s="159" t="s">
        <v>870</v>
      </c>
      <c r="D25" s="669"/>
      <c r="E25" s="432"/>
      <c r="F25" s="140"/>
      <c r="G25" s="108"/>
      <c r="H25" s="109"/>
      <c r="I25" s="64"/>
      <c r="J25" s="64"/>
      <c r="K25" s="139"/>
      <c r="L25" s="139"/>
      <c r="M25" s="248"/>
      <c r="N25" s="638"/>
      <c r="O25" s="655"/>
      <c r="P25" s="234"/>
      <c r="Q25" s="186"/>
      <c r="R25" s="186"/>
      <c r="S25" s="156"/>
      <c r="T25" s="149"/>
      <c r="U25" s="150"/>
      <c r="V25" s="151"/>
      <c r="W25" s="152"/>
      <c r="X25" s="152"/>
      <c r="Y25" s="32"/>
      <c r="Z25" s="32"/>
      <c r="AA25" s="32"/>
      <c r="AB25" s="19"/>
      <c r="AC25" s="134"/>
      <c r="AD25" s="112"/>
      <c r="AE25" s="31"/>
      <c r="AF25" s="31"/>
      <c r="AG25" s="31"/>
      <c r="AH25" s="22"/>
      <c r="AI25" s="135"/>
      <c r="AJ25" s="135"/>
      <c r="AK25" s="135"/>
      <c r="AL25" s="135"/>
      <c r="AM25" s="135"/>
      <c r="AN25" s="135"/>
      <c r="AO25" s="135"/>
      <c r="AP25" s="135"/>
      <c r="AQ25" s="135"/>
      <c r="AR25" s="22"/>
      <c r="AS25" s="22"/>
      <c r="AT25" s="22"/>
      <c r="AU25" s="22"/>
      <c r="AV25" s="135"/>
      <c r="AW25" s="135"/>
      <c r="AX25" s="135"/>
      <c r="AY25" s="135"/>
      <c r="AZ25" s="135"/>
      <c r="BA25" s="135"/>
      <c r="BB25" s="135"/>
      <c r="BC25" s="22"/>
      <c r="BD25" s="135"/>
      <c r="BE25" s="135"/>
      <c r="BF25" s="135"/>
      <c r="BG25" s="31"/>
    </row>
    <row r="26" spans="1:59" ht="12.75">
      <c r="A26" s="62">
        <v>5</v>
      </c>
      <c r="B26" s="74" t="s">
        <v>871</v>
      </c>
      <c r="C26" s="176" t="s">
        <v>872</v>
      </c>
      <c r="D26" s="669" t="str">
        <f>P</f>
        <v>. . .</v>
      </c>
      <c r="E26" s="432">
        <v>0.03</v>
      </c>
      <c r="F26" s="140"/>
      <c r="G26" s="108"/>
      <c r="H26" s="109"/>
      <c r="I26" s="64" t="str">
        <f>R</f>
        <v>Réelle</v>
      </c>
      <c r="J26" s="64" t="s">
        <v>873</v>
      </c>
      <c r="K26" s="177">
        <v>0.03</v>
      </c>
      <c r="L26" s="139"/>
      <c r="M26" s="248" t="str">
        <f>"(9)"</f>
        <v>(9)</v>
      </c>
      <c r="N26" s="638"/>
      <c r="O26" s="655" t="str">
        <f>P</f>
        <v>. . .</v>
      </c>
      <c r="P26" s="234" t="str">
        <f>P</f>
        <v>. . .</v>
      </c>
      <c r="Q26" s="186" t="str">
        <f>VI</f>
        <v>(25)</v>
      </c>
      <c r="R26" s="186" t="str">
        <f>VI</f>
        <v>(25)</v>
      </c>
      <c r="S26" s="156"/>
      <c r="W26" s="73" t="str">
        <f>t</f>
        <v>TVO</v>
      </c>
      <c r="X26" s="73"/>
      <c r="Y26" s="141"/>
      <c r="Z26" s="141"/>
      <c r="AA26" s="32"/>
      <c r="AB26" s="19"/>
      <c r="AC26" s="134"/>
      <c r="AD26" s="112"/>
      <c r="AE26" s="31"/>
      <c r="AF26" s="31"/>
      <c r="AG26" s="31"/>
      <c r="AH26" s="22"/>
      <c r="AI26" s="135"/>
      <c r="AJ26" s="135"/>
      <c r="AK26" s="135"/>
      <c r="AL26" s="135"/>
      <c r="AM26" s="135"/>
      <c r="AN26" s="135"/>
      <c r="AO26" s="135"/>
      <c r="AP26" s="135"/>
      <c r="AQ26" s="135"/>
      <c r="AR26" s="22"/>
      <c r="AS26" s="22"/>
      <c r="AT26" s="22"/>
      <c r="AU26" s="22"/>
      <c r="AV26" s="135"/>
      <c r="AW26" s="135"/>
      <c r="AX26" s="135"/>
      <c r="AY26" s="135"/>
      <c r="AZ26" s="135"/>
      <c r="BA26" s="135"/>
      <c r="BB26" s="135"/>
      <c r="BC26" s="22"/>
      <c r="BD26" s="135"/>
      <c r="BE26" s="135"/>
      <c r="BF26" s="135"/>
      <c r="BG26" s="31"/>
    </row>
    <row r="27" spans="1:59" ht="12.75">
      <c r="A27" s="62">
        <v>6</v>
      </c>
      <c r="B27" s="74" t="s">
        <v>874</v>
      </c>
      <c r="C27" s="176" t="s">
        <v>875</v>
      </c>
      <c r="D27" s="669" t="str">
        <f>P</f>
        <v>. . .</v>
      </c>
      <c r="E27" s="432" t="s">
        <v>876</v>
      </c>
      <c r="F27" s="140"/>
      <c r="G27" s="108"/>
      <c r="H27" s="109"/>
      <c r="I27" s="64" t="str">
        <f>R</f>
        <v>Réelle</v>
      </c>
      <c r="J27" s="64" t="str">
        <f>P</f>
        <v>. . .</v>
      </c>
      <c r="K27" s="139" t="s">
        <v>877</v>
      </c>
      <c r="L27" s="139"/>
      <c r="M27" s="248" t="s">
        <v>878</v>
      </c>
      <c r="N27" s="638"/>
      <c r="O27" s="655" t="str">
        <f>P</f>
        <v>. . .</v>
      </c>
      <c r="P27" s="234" t="str">
        <f>P</f>
        <v>. . .</v>
      </c>
      <c r="Q27" s="186" t="str">
        <f>VI</f>
        <v>(25)</v>
      </c>
      <c r="R27" s="186" t="str">
        <f>VI</f>
        <v>(25)</v>
      </c>
      <c r="S27" s="165"/>
      <c r="V27" s="72"/>
      <c r="W27" s="73" t="str">
        <f>t</f>
        <v>TVO</v>
      </c>
      <c r="X27" s="73"/>
      <c r="Y27" s="141"/>
      <c r="Z27" s="141"/>
      <c r="AA27" s="141"/>
      <c r="AB27" s="19"/>
      <c r="AC27" s="134"/>
      <c r="AD27" s="112"/>
      <c r="AE27" s="31"/>
      <c r="AF27" s="31"/>
      <c r="AG27" s="31"/>
      <c r="AH27" s="22"/>
      <c r="AI27" s="135"/>
      <c r="AJ27" s="135"/>
      <c r="AK27" s="135"/>
      <c r="AL27" s="135"/>
      <c r="AM27" s="135"/>
      <c r="AN27" s="135"/>
      <c r="AO27" s="135"/>
      <c r="AP27" s="135"/>
      <c r="AQ27" s="135"/>
      <c r="AR27" s="22"/>
      <c r="AS27" s="22"/>
      <c r="AT27" s="22"/>
      <c r="AU27" s="22"/>
      <c r="AV27" s="135"/>
      <c r="AW27" s="135"/>
      <c r="AX27" s="135"/>
      <c r="AY27" s="135"/>
      <c r="AZ27" s="135"/>
      <c r="BA27" s="135"/>
      <c r="BB27" s="135"/>
      <c r="BC27" s="22"/>
      <c r="BD27" s="135"/>
      <c r="BE27" s="135"/>
      <c r="BF27" s="135"/>
      <c r="BG27" s="31"/>
    </row>
    <row r="28" spans="1:59" ht="12.75">
      <c r="A28" s="62"/>
      <c r="B28" s="163"/>
      <c r="C28" s="179"/>
      <c r="D28" s="669"/>
      <c r="E28" s="432"/>
      <c r="F28" s="140"/>
      <c r="G28" s="108"/>
      <c r="H28" s="109"/>
      <c r="I28" s="64"/>
      <c r="J28" s="64"/>
      <c r="K28" s="139"/>
      <c r="L28" s="139"/>
      <c r="M28" s="248"/>
      <c r="N28" s="638"/>
      <c r="O28" s="655"/>
      <c r="P28" s="234"/>
      <c r="Q28" s="186"/>
      <c r="R28" s="186"/>
      <c r="S28" s="165"/>
      <c r="T28" s="149"/>
      <c r="U28" s="150"/>
      <c r="V28" s="151"/>
      <c r="W28" s="152"/>
      <c r="X28" s="152"/>
      <c r="Y28" s="32">
        <v>4004</v>
      </c>
      <c r="Z28" s="32">
        <v>9348</v>
      </c>
      <c r="AA28" s="141">
        <v>9301</v>
      </c>
      <c r="AB28" s="19"/>
      <c r="AC28" s="134"/>
      <c r="AD28" s="112"/>
      <c r="AE28" s="31"/>
      <c r="AF28" s="31"/>
      <c r="AG28" s="31"/>
      <c r="AH28" s="22"/>
      <c r="AI28" s="135"/>
      <c r="AJ28" s="135"/>
      <c r="AK28" s="135"/>
      <c r="AL28" s="135"/>
      <c r="AM28" s="135"/>
      <c r="AN28" s="135"/>
      <c r="AO28" s="135"/>
      <c r="AP28" s="135"/>
      <c r="AQ28" s="135"/>
      <c r="AR28" s="22"/>
      <c r="AS28" s="22"/>
      <c r="AT28" s="22"/>
      <c r="AU28" s="22"/>
      <c r="AV28" s="135"/>
      <c r="AW28" s="135"/>
      <c r="AX28" s="135"/>
      <c r="AY28" s="135"/>
      <c r="AZ28" s="135"/>
      <c r="BA28" s="135"/>
      <c r="BB28" s="135"/>
      <c r="BC28" s="22"/>
      <c r="BD28" s="135"/>
      <c r="BE28" s="135"/>
      <c r="BF28" s="135"/>
      <c r="BG28" s="31"/>
    </row>
    <row r="29" spans="1:59" ht="12.75">
      <c r="A29" s="62"/>
      <c r="B29" s="163"/>
      <c r="C29" s="159" t="s">
        <v>879</v>
      </c>
      <c r="D29" s="669"/>
      <c r="E29" s="432"/>
      <c r="F29" s="140"/>
      <c r="G29" s="108"/>
      <c r="H29" s="109"/>
      <c r="I29" s="64"/>
      <c r="J29" s="64"/>
      <c r="K29" s="139"/>
      <c r="L29" s="139"/>
      <c r="M29" s="248"/>
      <c r="N29" s="638"/>
      <c r="O29" s="655"/>
      <c r="P29" s="234"/>
      <c r="Q29" s="186"/>
      <c r="R29" s="186"/>
      <c r="S29" s="156"/>
      <c r="T29" s="149"/>
      <c r="U29" s="150"/>
      <c r="V29" s="151"/>
      <c r="W29" s="152"/>
      <c r="X29" s="152"/>
      <c r="Y29" s="32">
        <v>9301</v>
      </c>
      <c r="Z29" s="32"/>
      <c r="AA29" s="32"/>
      <c r="AB29" s="19"/>
      <c r="AC29" s="134"/>
      <c r="AD29" s="112"/>
      <c r="AE29" s="31"/>
      <c r="AF29" s="31"/>
      <c r="AG29" s="31"/>
      <c r="AH29" s="22"/>
      <c r="AI29" s="135"/>
      <c r="AJ29" s="135"/>
      <c r="AK29" s="135"/>
      <c r="AL29" s="135"/>
      <c r="AM29" s="135"/>
      <c r="AN29" s="135"/>
      <c r="AO29" s="135"/>
      <c r="AP29" s="135"/>
      <c r="AQ29" s="135"/>
      <c r="AR29" s="22"/>
      <c r="AS29" s="22"/>
      <c r="AT29" s="22"/>
      <c r="AU29" s="22"/>
      <c r="AV29" s="135"/>
      <c r="AW29" s="135"/>
      <c r="AX29" s="135"/>
      <c r="AY29" s="135"/>
      <c r="AZ29" s="135"/>
      <c r="BA29" s="135"/>
      <c r="BB29" s="135"/>
      <c r="BC29" s="22"/>
      <c r="BD29" s="135"/>
      <c r="BE29" s="135"/>
      <c r="BF29" s="135"/>
      <c r="BG29" s="31"/>
    </row>
    <row r="30" spans="1:59" ht="12.75">
      <c r="A30" s="62">
        <v>7</v>
      </c>
      <c r="B30" s="74" t="s">
        <v>880</v>
      </c>
      <c r="C30" s="176" t="s">
        <v>881</v>
      </c>
      <c r="D30" s="669" t="str">
        <f>P</f>
        <v>. . .</v>
      </c>
      <c r="E30" s="432">
        <v>0.03</v>
      </c>
      <c r="F30" s="140"/>
      <c r="G30" s="108"/>
      <c r="H30" s="109"/>
      <c r="I30" s="64" t="str">
        <f>R</f>
        <v>Réelle</v>
      </c>
      <c r="J30" s="64" t="s">
        <v>882</v>
      </c>
      <c r="K30" s="177">
        <v>0.03</v>
      </c>
      <c r="L30" s="139"/>
      <c r="M30" s="248" t="str">
        <f>"(9)"</f>
        <v>(9)</v>
      </c>
      <c r="N30" s="638"/>
      <c r="O30" s="655" t="str">
        <f>P</f>
        <v>. . .</v>
      </c>
      <c r="P30" s="234" t="str">
        <f>P</f>
        <v>. . .</v>
      </c>
      <c r="Q30" s="186" t="str">
        <f>VI</f>
        <v>(25)</v>
      </c>
      <c r="R30" s="186" t="str">
        <f>VI</f>
        <v>(25)</v>
      </c>
      <c r="S30" s="156"/>
      <c r="W30" s="73" t="str">
        <f>t</f>
        <v>TVO</v>
      </c>
      <c r="X30" s="73"/>
      <c r="Y30" s="141"/>
      <c r="Z30" s="141"/>
      <c r="AA30" s="32"/>
      <c r="AB30" s="19"/>
      <c r="AC30" s="134"/>
      <c r="AD30" s="112"/>
      <c r="AE30" s="31"/>
      <c r="AF30" s="31"/>
      <c r="AG30" s="31"/>
      <c r="AH30" s="22"/>
      <c r="AI30" s="135"/>
      <c r="AJ30" s="135"/>
      <c r="AK30" s="135"/>
      <c r="AL30" s="135"/>
      <c r="AM30" s="135"/>
      <c r="AN30" s="135"/>
      <c r="AO30" s="135"/>
      <c r="AP30" s="135"/>
      <c r="AQ30" s="135"/>
      <c r="AR30" s="22"/>
      <c r="AS30" s="22"/>
      <c r="AT30" s="22"/>
      <c r="AU30" s="22"/>
      <c r="AV30" s="135"/>
      <c r="AW30" s="135"/>
      <c r="AX30" s="135"/>
      <c r="AY30" s="135"/>
      <c r="AZ30" s="135"/>
      <c r="BA30" s="135"/>
      <c r="BB30" s="135"/>
      <c r="BC30" s="22"/>
      <c r="BD30" s="135"/>
      <c r="BE30" s="135"/>
      <c r="BF30" s="135"/>
      <c r="BG30" s="31"/>
    </row>
    <row r="31" spans="1:59" ht="12.75">
      <c r="A31" s="62">
        <v>8</v>
      </c>
      <c r="B31" s="74" t="s">
        <v>883</v>
      </c>
      <c r="C31" s="176" t="s">
        <v>884</v>
      </c>
      <c r="D31" s="669" t="str">
        <f>P</f>
        <v>. . .</v>
      </c>
      <c r="E31" s="432" t="s">
        <v>885</v>
      </c>
      <c r="F31" s="140"/>
      <c r="G31" s="108"/>
      <c r="H31" s="109"/>
      <c r="I31" s="64" t="str">
        <f>R</f>
        <v>Réelle</v>
      </c>
      <c r="J31" s="64" t="str">
        <f>P</f>
        <v>. . .</v>
      </c>
      <c r="K31" s="139" t="s">
        <v>886</v>
      </c>
      <c r="L31" s="139"/>
      <c r="M31" s="248" t="s">
        <v>887</v>
      </c>
      <c r="N31" s="638"/>
      <c r="O31" s="655" t="str">
        <f>P</f>
        <v>. . .</v>
      </c>
      <c r="P31" s="234" t="str">
        <f>P</f>
        <v>. . .</v>
      </c>
      <c r="Q31" s="186" t="str">
        <f>VI</f>
        <v>(25)</v>
      </c>
      <c r="R31" s="186" t="str">
        <f>VI</f>
        <v>(25)</v>
      </c>
      <c r="S31" s="165"/>
      <c r="V31" s="72"/>
      <c r="W31" s="73" t="str">
        <f>t</f>
        <v>TVO</v>
      </c>
      <c r="X31" s="73"/>
      <c r="Y31" s="141"/>
      <c r="Z31" s="141"/>
      <c r="AA31" s="141"/>
      <c r="AB31" s="19"/>
      <c r="AC31" s="134"/>
      <c r="AD31" s="112"/>
      <c r="AE31" s="31"/>
      <c r="AF31" s="31"/>
      <c r="AG31" s="31"/>
      <c r="AH31" s="22"/>
      <c r="AI31" s="135"/>
      <c r="AJ31" s="135"/>
      <c r="AK31" s="135"/>
      <c r="AL31" s="135"/>
      <c r="AM31" s="135"/>
      <c r="AN31" s="135"/>
      <c r="AO31" s="135"/>
      <c r="AP31" s="135"/>
      <c r="AQ31" s="135"/>
      <c r="AR31" s="22"/>
      <c r="AS31" s="22"/>
      <c r="AT31" s="22"/>
      <c r="AU31" s="22"/>
      <c r="AV31" s="135"/>
      <c r="AW31" s="135"/>
      <c r="AX31" s="135"/>
      <c r="AY31" s="135"/>
      <c r="AZ31" s="135"/>
      <c r="BA31" s="135"/>
      <c r="BB31" s="135"/>
      <c r="BC31" s="22"/>
      <c r="BD31" s="135"/>
      <c r="BE31" s="135"/>
      <c r="BF31" s="135"/>
      <c r="BG31" s="31"/>
    </row>
    <row r="32" spans="1:59" ht="12.75">
      <c r="A32" s="62"/>
      <c r="B32" s="163"/>
      <c r="C32" s="176"/>
      <c r="D32" s="669"/>
      <c r="E32" s="432"/>
      <c r="F32" s="140"/>
      <c r="G32" s="108"/>
      <c r="H32" s="109"/>
      <c r="I32" s="64"/>
      <c r="J32" s="64"/>
      <c r="K32" s="139"/>
      <c r="L32" s="139"/>
      <c r="M32" s="248"/>
      <c r="N32" s="638"/>
      <c r="O32" s="655"/>
      <c r="P32" s="234"/>
      <c r="Q32" s="186"/>
      <c r="R32" s="186"/>
      <c r="S32" s="165"/>
      <c r="T32" s="149"/>
      <c r="U32" s="150"/>
      <c r="V32" s="151"/>
      <c r="W32" s="152"/>
      <c r="X32" s="152"/>
      <c r="Y32" s="141"/>
      <c r="Z32" s="141"/>
      <c r="AA32" s="141"/>
      <c r="AB32" s="19"/>
      <c r="AC32" s="134"/>
      <c r="AD32" s="112"/>
      <c r="AE32" s="31"/>
      <c r="AF32" s="31"/>
      <c r="AG32" s="31"/>
      <c r="AH32" s="22"/>
      <c r="AI32" s="135"/>
      <c r="AJ32" s="135"/>
      <c r="AK32" s="135"/>
      <c r="AL32" s="135"/>
      <c r="AM32" s="135"/>
      <c r="AN32" s="135"/>
      <c r="AO32" s="135"/>
      <c r="AP32" s="135"/>
      <c r="AQ32" s="135"/>
      <c r="AR32" s="22"/>
      <c r="AS32" s="22"/>
      <c r="AT32" s="22"/>
      <c r="AU32" s="22"/>
      <c r="AV32" s="135"/>
      <c r="AW32" s="135"/>
      <c r="AX32" s="135"/>
      <c r="AY32" s="135"/>
      <c r="AZ32" s="135"/>
      <c r="BA32" s="135"/>
      <c r="BB32" s="135"/>
      <c r="BC32" s="22"/>
      <c r="BD32" s="135"/>
      <c r="BE32" s="135"/>
      <c r="BF32" s="135"/>
      <c r="BG32" s="31"/>
    </row>
    <row r="33" spans="1:59" ht="12.75">
      <c r="A33" s="62"/>
      <c r="B33" s="163"/>
      <c r="C33" s="176"/>
      <c r="D33" s="669"/>
      <c r="E33" s="432"/>
      <c r="F33" s="140"/>
      <c r="G33" s="108"/>
      <c r="H33" s="109"/>
      <c r="I33" s="64"/>
      <c r="J33" s="64"/>
      <c r="K33" s="139"/>
      <c r="L33" s="139"/>
      <c r="M33" s="248"/>
      <c r="N33" s="638"/>
      <c r="O33" s="655"/>
      <c r="P33" s="234"/>
      <c r="Q33" s="186"/>
      <c r="R33" s="186"/>
      <c r="S33" s="156"/>
      <c r="T33" s="149"/>
      <c r="U33" s="150"/>
      <c r="V33" s="151"/>
      <c r="W33" s="152"/>
      <c r="X33" s="152"/>
      <c r="Y33" s="141"/>
      <c r="Z33" s="141"/>
      <c r="AA33" s="141"/>
      <c r="AB33" s="19"/>
      <c r="AC33" s="134"/>
      <c r="AD33" s="112"/>
      <c r="AE33" s="31"/>
      <c r="AF33" s="31"/>
      <c r="AG33" s="31"/>
      <c r="AH33" s="22"/>
      <c r="AI33" s="135"/>
      <c r="AJ33" s="135"/>
      <c r="AK33" s="135"/>
      <c r="AL33" s="135"/>
      <c r="AM33" s="135"/>
      <c r="AN33" s="135"/>
      <c r="AO33" s="135"/>
      <c r="AP33" s="135"/>
      <c r="AQ33" s="135"/>
      <c r="AR33" s="22"/>
      <c r="AS33" s="22"/>
      <c r="AT33" s="22"/>
      <c r="AU33" s="22"/>
      <c r="AV33" s="135"/>
      <c r="AW33" s="135"/>
      <c r="AX33" s="135"/>
      <c r="AY33" s="135"/>
      <c r="AZ33" s="135"/>
      <c r="BA33" s="135"/>
      <c r="BB33" s="135"/>
      <c r="BC33" s="22"/>
      <c r="BD33" s="135"/>
      <c r="BE33" s="135"/>
      <c r="BF33" s="135"/>
      <c r="BG33" s="31"/>
    </row>
    <row r="34" spans="1:59" ht="18">
      <c r="A34" s="62"/>
      <c r="B34" s="163"/>
      <c r="C34" s="180" t="s">
        <v>888</v>
      </c>
      <c r="D34" s="669"/>
      <c r="E34" s="432"/>
      <c r="F34" s="140"/>
      <c r="G34" s="108"/>
      <c r="H34" s="109"/>
      <c r="I34" s="64"/>
      <c r="J34" s="64"/>
      <c r="K34" s="139"/>
      <c r="L34" s="139"/>
      <c r="M34" s="248"/>
      <c r="N34" s="638"/>
      <c r="O34" s="655"/>
      <c r="P34" s="234"/>
      <c r="Q34" s="186"/>
      <c r="R34" s="186"/>
      <c r="S34" s="156"/>
      <c r="T34" s="149"/>
      <c r="U34" s="150"/>
      <c r="V34" s="151"/>
      <c r="W34" s="152"/>
      <c r="X34" s="152"/>
      <c r="Y34" s="141"/>
      <c r="Z34" s="141"/>
      <c r="AA34" s="141"/>
      <c r="AB34" s="19"/>
      <c r="AC34" s="134"/>
      <c r="AD34" s="112"/>
      <c r="AE34" s="31"/>
      <c r="AF34" s="31"/>
      <c r="AG34" s="31"/>
      <c r="AH34" s="22"/>
      <c r="AI34" s="135"/>
      <c r="AJ34" s="135"/>
      <c r="AK34" s="135"/>
      <c r="AL34" s="135"/>
      <c r="AM34" s="135"/>
      <c r="AN34" s="135"/>
      <c r="AO34" s="135"/>
      <c r="AP34" s="135"/>
      <c r="AQ34" s="135"/>
      <c r="AR34" s="22"/>
      <c r="AS34" s="22"/>
      <c r="AT34" s="22"/>
      <c r="AU34" s="22"/>
      <c r="AV34" s="135"/>
      <c r="AW34" s="135"/>
      <c r="AX34" s="135"/>
      <c r="AY34" s="135"/>
      <c r="AZ34" s="135"/>
      <c r="BA34" s="135"/>
      <c r="BB34" s="135"/>
      <c r="BC34" s="22"/>
      <c r="BD34" s="135"/>
      <c r="BE34" s="135"/>
      <c r="BF34" s="135"/>
      <c r="BG34" s="31"/>
    </row>
    <row r="35" spans="1:59" ht="12.75">
      <c r="A35" s="62"/>
      <c r="B35" s="163"/>
      <c r="C35" s="181"/>
      <c r="D35" s="669"/>
      <c r="E35" s="432"/>
      <c r="F35" s="140"/>
      <c r="G35" s="108"/>
      <c r="H35" s="109"/>
      <c r="I35" s="64"/>
      <c r="J35" s="64"/>
      <c r="K35" s="139"/>
      <c r="L35" s="139"/>
      <c r="M35" s="248"/>
      <c r="N35" s="638"/>
      <c r="O35" s="655"/>
      <c r="P35" s="234"/>
      <c r="Q35" s="186"/>
      <c r="R35" s="186"/>
      <c r="S35" s="156"/>
      <c r="T35" s="149"/>
      <c r="U35" s="150"/>
      <c r="V35" s="151"/>
      <c r="W35" s="152"/>
      <c r="X35" s="152"/>
      <c r="Y35" s="18">
        <v>9348</v>
      </c>
      <c r="Z35" s="18">
        <v>9301</v>
      </c>
      <c r="AA35" s="141"/>
      <c r="AB35" s="19"/>
      <c r="AC35" s="134"/>
      <c r="AD35" s="112"/>
      <c r="AE35" s="31"/>
      <c r="AF35" s="31"/>
      <c r="AG35" s="31"/>
      <c r="AH35" s="22"/>
      <c r="AI35" s="135"/>
      <c r="AJ35" s="135"/>
      <c r="AK35" s="135"/>
      <c r="AL35" s="135"/>
      <c r="AM35" s="135"/>
      <c r="AN35" s="135"/>
      <c r="AO35" s="135"/>
      <c r="AP35" s="135"/>
      <c r="AQ35" s="135"/>
      <c r="AR35" s="135"/>
      <c r="AS35" s="135"/>
      <c r="AT35" s="135"/>
      <c r="AU35" s="135"/>
      <c r="AV35" s="135"/>
      <c r="AW35" s="135"/>
      <c r="AX35" s="135"/>
      <c r="AY35" s="135"/>
      <c r="AZ35" s="135"/>
      <c r="BA35" s="135"/>
      <c r="BB35" s="135"/>
      <c r="BC35" s="22"/>
      <c r="BD35" s="135"/>
      <c r="BE35" s="135"/>
      <c r="BF35" s="135"/>
      <c r="BG35" s="31"/>
    </row>
    <row r="36" spans="1:59" ht="12.75">
      <c r="A36" s="62"/>
      <c r="B36" s="74"/>
      <c r="C36" s="182" t="s">
        <v>889</v>
      </c>
      <c r="D36" s="669"/>
      <c r="E36" s="432"/>
      <c r="F36" s="140"/>
      <c r="G36" s="108"/>
      <c r="H36" s="109"/>
      <c r="I36" s="64"/>
      <c r="J36" s="64"/>
      <c r="K36" s="139"/>
      <c r="L36" s="139"/>
      <c r="M36" s="248"/>
      <c r="N36" s="638"/>
      <c r="O36" s="655"/>
      <c r="P36" s="148"/>
      <c r="Q36" s="186"/>
      <c r="R36" s="186"/>
      <c r="S36" s="156"/>
      <c r="T36" s="149"/>
      <c r="U36" s="150"/>
      <c r="V36" s="151"/>
      <c r="W36" s="152"/>
      <c r="X36" s="152"/>
      <c r="Y36" s="141">
        <v>9348</v>
      </c>
      <c r="Z36" s="141">
        <v>9301</v>
      </c>
      <c r="AA36" s="18"/>
      <c r="AB36" s="19"/>
      <c r="AC36" s="134"/>
      <c r="AD36" s="112"/>
      <c r="AE36" s="31"/>
      <c r="AF36" s="31"/>
      <c r="AG36" s="31"/>
      <c r="AH36" s="22"/>
      <c r="AI36" s="135"/>
      <c r="AJ36" s="135"/>
      <c r="AK36" s="135"/>
      <c r="AL36" s="135"/>
      <c r="AM36" s="135"/>
      <c r="AN36" s="135"/>
      <c r="AO36" s="135"/>
      <c r="AP36" s="135"/>
      <c r="AQ36" s="135"/>
      <c r="AR36" s="135"/>
      <c r="AS36" s="135"/>
      <c r="AT36" s="135"/>
      <c r="AU36" s="135"/>
      <c r="AV36" s="135"/>
      <c r="AW36" s="135"/>
      <c r="AX36" s="135"/>
      <c r="AY36" s="135"/>
      <c r="AZ36" s="135"/>
      <c r="BA36" s="135"/>
      <c r="BB36" s="135"/>
      <c r="BC36" s="22"/>
      <c r="BD36" s="135"/>
      <c r="BE36" s="135"/>
      <c r="BF36" s="135"/>
      <c r="BG36" s="31"/>
    </row>
    <row r="37" spans="1:59" ht="12.75">
      <c r="A37" s="62">
        <v>9</v>
      </c>
      <c r="B37" s="74" t="s">
        <v>890</v>
      </c>
      <c r="C37" s="182" t="s">
        <v>891</v>
      </c>
      <c r="D37" s="81" t="str">
        <f>P</f>
        <v>. . .</v>
      </c>
      <c r="E37" s="432">
        <f>TEC2707</f>
        <v>0.03</v>
      </c>
      <c r="F37" s="140"/>
      <c r="G37" s="183"/>
      <c r="H37" s="63"/>
      <c r="I37" s="64">
        <f>vfspb</f>
        <v>39.5</v>
      </c>
      <c r="J37" s="64" t="s">
        <v>892</v>
      </c>
      <c r="K37" s="184">
        <f>ROUND(I37*TEC2707,2)</f>
        <v>1.19</v>
      </c>
      <c r="L37" s="138"/>
      <c r="M37" s="248">
        <f>TISP</f>
        <v>58.92</v>
      </c>
      <c r="N37" s="638"/>
      <c r="O37" s="655" t="str">
        <f aca="true" t="shared" si="0" ref="O37:P39">P</f>
        <v>. . .</v>
      </c>
      <c r="P37" s="234" t="str">
        <f t="shared" si="0"/>
        <v>. . .</v>
      </c>
      <c r="Q37" s="186">
        <f>TVAcondM</f>
        <v>19.29032</v>
      </c>
      <c r="R37" s="186">
        <f>TVAcondC</f>
        <v>12.7946</v>
      </c>
      <c r="S37" s="156"/>
      <c r="T37" s="50">
        <v>5734</v>
      </c>
      <c r="U37" s="51"/>
      <c r="W37" s="185">
        <v>5903</v>
      </c>
      <c r="X37" s="185"/>
      <c r="Y37" s="141">
        <v>9301</v>
      </c>
      <c r="Z37" s="141"/>
      <c r="AA37" s="141"/>
      <c r="AB37" s="19"/>
      <c r="AC37" s="134"/>
      <c r="AD37" s="112"/>
      <c r="AE37" s="31"/>
      <c r="AF37" s="31"/>
      <c r="AG37" s="31"/>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22"/>
      <c r="BD37" s="135"/>
      <c r="BE37" s="135"/>
      <c r="BF37" s="135"/>
      <c r="BG37" s="31"/>
    </row>
    <row r="38" spans="1:59" ht="12.75">
      <c r="A38" s="62">
        <v>10</v>
      </c>
      <c r="B38" s="74" t="s">
        <v>893</v>
      </c>
      <c r="C38" s="182" t="s">
        <v>894</v>
      </c>
      <c r="D38" s="81" t="str">
        <f>P</f>
        <v>. . .</v>
      </c>
      <c r="E38" s="432">
        <f>TEC2707</f>
        <v>0.03</v>
      </c>
      <c r="F38" s="140"/>
      <c r="G38" s="183"/>
      <c r="H38" s="63"/>
      <c r="I38" s="64">
        <f>VFGO</f>
        <v>38.35</v>
      </c>
      <c r="J38" s="64" t="s">
        <v>895</v>
      </c>
      <c r="K38" s="184">
        <f>ROUND(I38*TEC2707,2)</f>
        <v>1.15</v>
      </c>
      <c r="L38" s="138"/>
      <c r="M38" s="248">
        <f>TIGO</f>
        <v>41.69</v>
      </c>
      <c r="N38" s="638"/>
      <c r="O38" s="655" t="str">
        <f t="shared" si="0"/>
        <v>. . .</v>
      </c>
      <c r="P38" s="234" t="str">
        <f t="shared" si="0"/>
        <v>. . .</v>
      </c>
      <c r="Q38" s="186">
        <f>TVAGOMETRO</f>
        <v>15.68784</v>
      </c>
      <c r="R38" s="186">
        <f>TVAGOCORSE</f>
        <v>10.405199999999999</v>
      </c>
      <c r="S38" s="49"/>
      <c r="T38" s="149">
        <v>5731</v>
      </c>
      <c r="U38" s="150"/>
      <c r="W38" s="157">
        <v>5938</v>
      </c>
      <c r="X38" s="157"/>
      <c r="Y38" s="18"/>
      <c r="Z38" s="18"/>
      <c r="AA38" s="141"/>
      <c r="AB38" s="19"/>
      <c r="AC38" s="134"/>
      <c r="AD38" s="112"/>
      <c r="AE38" s="31"/>
      <c r="AF38" s="31"/>
      <c r="AG38" s="31"/>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22"/>
      <c r="BD38" s="135"/>
      <c r="BE38" s="135"/>
      <c r="BF38" s="135"/>
      <c r="BG38" s="31"/>
    </row>
    <row r="39" spans="1:59" ht="13.5" thickBot="1">
      <c r="A39" s="187">
        <v>11</v>
      </c>
      <c r="B39" s="188" t="s">
        <v>896</v>
      </c>
      <c r="C39" s="189" t="s">
        <v>897</v>
      </c>
      <c r="D39" s="671" t="str">
        <f>P</f>
        <v>. . .</v>
      </c>
      <c r="E39" s="689" t="s">
        <v>898</v>
      </c>
      <c r="F39" s="690"/>
      <c r="G39" s="191"/>
      <c r="H39" s="192"/>
      <c r="I39" s="708" t="str">
        <f>R</f>
        <v>Réelle</v>
      </c>
      <c r="J39" s="708" t="str">
        <f>P</f>
        <v>. . .</v>
      </c>
      <c r="K39" s="193" t="s">
        <v>899</v>
      </c>
      <c r="L39" s="193"/>
      <c r="M39" s="194" t="s">
        <v>900</v>
      </c>
      <c r="N39" s="484"/>
      <c r="O39" s="656" t="str">
        <f t="shared" si="0"/>
        <v>. . .</v>
      </c>
      <c r="P39" s="644" t="str">
        <f t="shared" si="0"/>
        <v>. . .</v>
      </c>
      <c r="Q39" s="343" t="str">
        <f>VI</f>
        <v>(25)</v>
      </c>
      <c r="R39" s="343" t="str">
        <f>VI</f>
        <v>(25)</v>
      </c>
      <c r="S39" s="156"/>
      <c r="V39" s="151"/>
      <c r="W39" s="152" t="str">
        <f>t</f>
        <v>TVO</v>
      </c>
      <c r="X39" s="152"/>
      <c r="Y39" s="141"/>
      <c r="Z39" s="141"/>
      <c r="AA39" s="18"/>
      <c r="AB39" s="196"/>
      <c r="AC39" s="134"/>
      <c r="AD39" s="112"/>
      <c r="AE39" s="31"/>
      <c r="AF39" s="31"/>
      <c r="AG39" s="31"/>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22"/>
      <c r="BD39" s="135"/>
      <c r="BE39" s="135"/>
      <c r="BF39" s="135"/>
      <c r="BG39" s="31"/>
    </row>
    <row r="40" spans="1:59" ht="12.75">
      <c r="A40" s="197"/>
      <c r="B40" s="198"/>
      <c r="C40" s="199" t="s">
        <v>901</v>
      </c>
      <c r="D40" s="672"/>
      <c r="E40" s="691"/>
      <c r="F40" s="692"/>
      <c r="G40" s="79"/>
      <c r="H40" s="80"/>
      <c r="I40" s="667"/>
      <c r="J40" s="667"/>
      <c r="K40" s="200"/>
      <c r="L40" s="200"/>
      <c r="M40" s="248"/>
      <c r="N40" s="184"/>
      <c r="O40" s="532"/>
      <c r="P40" s="645"/>
      <c r="Q40" s="186"/>
      <c r="R40" s="186"/>
      <c r="S40" s="156"/>
      <c r="T40" s="50"/>
      <c r="U40" s="51"/>
      <c r="V40" s="52"/>
      <c r="W40" s="53"/>
      <c r="X40" s="53"/>
      <c r="Y40" s="141">
        <v>4004</v>
      </c>
      <c r="Z40" s="141"/>
      <c r="AA40" s="141"/>
      <c r="AB40" s="19"/>
      <c r="AC40" s="134"/>
      <c r="AD40" s="112"/>
      <c r="AE40" s="31"/>
      <c r="AF40" s="31"/>
      <c r="AG40" s="31"/>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22"/>
      <c r="BD40" s="135"/>
      <c r="BE40" s="135"/>
      <c r="BF40" s="135"/>
      <c r="BG40" s="31"/>
    </row>
    <row r="41" spans="1:59" ht="12.75">
      <c r="A41" s="62"/>
      <c r="B41" s="74"/>
      <c r="C41" s="176" t="s">
        <v>902</v>
      </c>
      <c r="D41" s="669"/>
      <c r="E41" s="432"/>
      <c r="F41" s="140"/>
      <c r="G41" s="108"/>
      <c r="H41" s="109"/>
      <c r="I41" s="532"/>
      <c r="J41" s="64"/>
      <c r="K41" s="201"/>
      <c r="L41" s="139"/>
      <c r="M41" s="248"/>
      <c r="N41" s="638"/>
      <c r="O41" s="655"/>
      <c r="P41" s="646"/>
      <c r="Q41" s="186"/>
      <c r="R41" s="186"/>
      <c r="S41" s="49"/>
      <c r="T41" s="149"/>
      <c r="U41" s="150"/>
      <c r="V41" s="151"/>
      <c r="W41" s="152"/>
      <c r="X41" s="152"/>
      <c r="Y41" s="141">
        <v>9348</v>
      </c>
      <c r="Z41" s="141"/>
      <c r="AA41" s="141"/>
      <c r="AB41" s="19"/>
      <c r="AC41" s="134"/>
      <c r="AD41" s="112"/>
      <c r="AE41" s="31"/>
      <c r="AF41" s="31"/>
      <c r="AG41" s="31"/>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22"/>
      <c r="BD41" s="135"/>
      <c r="BE41" s="135"/>
      <c r="BF41" s="135"/>
      <c r="BG41" s="31"/>
    </row>
    <row r="42" spans="1:59" ht="12.75">
      <c r="A42" s="62">
        <v>12</v>
      </c>
      <c r="B42" s="74" t="s">
        <v>903</v>
      </c>
      <c r="C42" s="182" t="s">
        <v>904</v>
      </c>
      <c r="D42" s="669" t="str">
        <f>P</f>
        <v>. . .</v>
      </c>
      <c r="E42" s="432">
        <v>0.017</v>
      </c>
      <c r="F42" s="140"/>
      <c r="G42" s="108"/>
      <c r="H42" s="109"/>
      <c r="I42" s="532" t="str">
        <f>R</f>
        <v>Réelle</v>
      </c>
      <c r="J42" s="64" t="s">
        <v>905</v>
      </c>
      <c r="K42" s="202">
        <v>0.017</v>
      </c>
      <c r="L42" s="139"/>
      <c r="M42" s="248" t="str">
        <f>"(9)"</f>
        <v>(9)</v>
      </c>
      <c r="N42" s="638"/>
      <c r="O42" s="532" t="s">
        <v>906</v>
      </c>
      <c r="P42" s="646" t="s">
        <v>907</v>
      </c>
      <c r="Q42" s="186" t="str">
        <f>VI</f>
        <v>(25)</v>
      </c>
      <c r="R42" s="186" t="str">
        <f>VI</f>
        <v>(25)</v>
      </c>
      <c r="S42" s="156"/>
      <c r="W42" s="152" t="str">
        <f>t</f>
        <v>TVO</v>
      </c>
      <c r="X42" s="152"/>
      <c r="Y42" s="32"/>
      <c r="Z42" s="32"/>
      <c r="AA42" s="141"/>
      <c r="AB42" s="19"/>
      <c r="AC42" s="134"/>
      <c r="AD42" s="112"/>
      <c r="AE42" s="31"/>
      <c r="AF42" s="31"/>
      <c r="AG42" s="31"/>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22"/>
      <c r="BD42" s="135"/>
      <c r="BE42" s="135"/>
      <c r="BF42" s="135"/>
      <c r="BG42" s="31"/>
    </row>
    <row r="43" spans="1:59" ht="12.75">
      <c r="A43" s="62">
        <v>13</v>
      </c>
      <c r="B43" s="74" t="s">
        <v>908</v>
      </c>
      <c r="C43" s="182" t="s">
        <v>909</v>
      </c>
      <c r="D43" s="669" t="s">
        <v>910</v>
      </c>
      <c r="E43" s="432">
        <v>0.017</v>
      </c>
      <c r="F43" s="140"/>
      <c r="G43" s="108"/>
      <c r="H43" s="109"/>
      <c r="I43" s="532" t="str">
        <f>R</f>
        <v>Réelle</v>
      </c>
      <c r="J43" s="64" t="str">
        <f>P</f>
        <v>. . .</v>
      </c>
      <c r="K43" s="202">
        <v>0.017</v>
      </c>
      <c r="L43" s="139"/>
      <c r="M43" s="248" t="s">
        <v>911</v>
      </c>
      <c r="N43" s="638"/>
      <c r="O43" s="532" t="s">
        <v>912</v>
      </c>
      <c r="P43" s="646" t="s">
        <v>913</v>
      </c>
      <c r="Q43" s="186" t="str">
        <f>VI</f>
        <v>(25)</v>
      </c>
      <c r="R43" s="186" t="str">
        <f>VI</f>
        <v>(25)</v>
      </c>
      <c r="S43" s="156"/>
      <c r="W43" s="152" t="str">
        <f>t</f>
        <v>TVO</v>
      </c>
      <c r="X43" s="152"/>
      <c r="Y43" s="32"/>
      <c r="Z43" s="32"/>
      <c r="AA43" s="32"/>
      <c r="AB43" s="19"/>
      <c r="AC43" s="134"/>
      <c r="AD43" s="112"/>
      <c r="AE43" s="31"/>
      <c r="AF43" s="31"/>
      <c r="AG43" s="31"/>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22"/>
      <c r="BD43" s="135"/>
      <c r="BE43" s="135"/>
      <c r="BF43" s="135"/>
      <c r="BG43" s="31"/>
    </row>
    <row r="44" spans="1:59" ht="12.75">
      <c r="A44" s="62"/>
      <c r="B44" s="74"/>
      <c r="C44" s="176" t="s">
        <v>914</v>
      </c>
      <c r="D44" s="669"/>
      <c r="E44" s="432"/>
      <c r="F44" s="140"/>
      <c r="G44" s="108"/>
      <c r="H44" s="109"/>
      <c r="I44" s="532"/>
      <c r="J44" s="64"/>
      <c r="K44" s="201"/>
      <c r="L44" s="139"/>
      <c r="M44" s="248"/>
      <c r="N44" s="638"/>
      <c r="O44" s="655"/>
      <c r="P44" s="646"/>
      <c r="Q44" s="186"/>
      <c r="R44" s="186"/>
      <c r="S44" s="156"/>
      <c r="T44" s="70"/>
      <c r="U44" s="71"/>
      <c r="V44" s="72"/>
      <c r="W44" s="73"/>
      <c r="X44" s="73"/>
      <c r="Y44" s="141"/>
      <c r="Z44" s="141"/>
      <c r="AA44" s="32"/>
      <c r="AB44" s="19"/>
      <c r="AC44" s="134"/>
      <c r="AD44" s="112"/>
      <c r="AE44" s="31"/>
      <c r="AF44" s="31"/>
      <c r="AG44" s="31"/>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22"/>
      <c r="BD44" s="135"/>
      <c r="BE44" s="135"/>
      <c r="BF44" s="135"/>
      <c r="BG44" s="31"/>
    </row>
    <row r="45" spans="1:59" ht="12.75">
      <c r="A45" s="62"/>
      <c r="B45" s="74"/>
      <c r="C45" s="182" t="s">
        <v>915</v>
      </c>
      <c r="D45" s="669"/>
      <c r="E45" s="432"/>
      <c r="F45" s="140"/>
      <c r="G45" s="108"/>
      <c r="H45" s="109"/>
      <c r="I45" s="532"/>
      <c r="J45" s="64"/>
      <c r="K45" s="201"/>
      <c r="L45" s="139"/>
      <c r="M45" s="248"/>
      <c r="N45" s="638"/>
      <c r="O45" s="655"/>
      <c r="P45" s="646"/>
      <c r="Q45" s="186"/>
      <c r="R45" s="186"/>
      <c r="S45" s="165"/>
      <c r="T45" s="70"/>
      <c r="U45" s="71"/>
      <c r="V45" s="72"/>
      <c r="W45" s="73"/>
      <c r="X45" s="73"/>
      <c r="Y45" s="141"/>
      <c r="Z45" s="141"/>
      <c r="AA45" s="141"/>
      <c r="AB45" s="19"/>
      <c r="AC45" s="134"/>
      <c r="AD45" s="112"/>
      <c r="AE45" s="31"/>
      <c r="AF45" s="31"/>
      <c r="AG45" s="31"/>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22"/>
      <c r="BD45" s="135"/>
      <c r="BE45" s="135"/>
      <c r="BF45" s="135"/>
      <c r="BG45" s="31"/>
    </row>
    <row r="46" spans="1:59" ht="12.75">
      <c r="A46" s="62"/>
      <c r="B46" s="74"/>
      <c r="C46" s="176" t="s">
        <v>916</v>
      </c>
      <c r="D46" s="669"/>
      <c r="E46" s="432"/>
      <c r="F46" s="140"/>
      <c r="G46" s="108"/>
      <c r="H46" s="109"/>
      <c r="I46" s="532"/>
      <c r="J46" s="64"/>
      <c r="K46" s="201"/>
      <c r="L46" s="139"/>
      <c r="M46" s="248"/>
      <c r="N46" s="638"/>
      <c r="O46" s="655"/>
      <c r="P46" s="646"/>
      <c r="Q46" s="186"/>
      <c r="R46" s="186"/>
      <c r="S46" s="165"/>
      <c r="T46" s="149"/>
      <c r="U46" s="150"/>
      <c r="V46" s="151"/>
      <c r="W46" s="152"/>
      <c r="X46" s="152"/>
      <c r="Y46" s="141"/>
      <c r="Z46" s="141"/>
      <c r="AA46" s="141"/>
      <c r="AB46" s="19"/>
      <c r="AC46" s="134"/>
      <c r="AD46" s="112"/>
      <c r="AE46" s="31"/>
      <c r="AF46" s="31"/>
      <c r="AG46" s="31"/>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22"/>
      <c r="BD46" s="135"/>
      <c r="BE46" s="135"/>
      <c r="BF46" s="135"/>
      <c r="BG46" s="31"/>
    </row>
    <row r="47" spans="1:59" ht="12.75">
      <c r="A47" s="62"/>
      <c r="B47" s="203"/>
      <c r="C47" s="176" t="s">
        <v>917</v>
      </c>
      <c r="D47" s="669"/>
      <c r="E47" s="432"/>
      <c r="F47" s="140"/>
      <c r="G47" s="108"/>
      <c r="H47" s="109"/>
      <c r="I47" s="532"/>
      <c r="J47" s="64"/>
      <c r="K47" s="201"/>
      <c r="L47" s="139"/>
      <c r="M47" s="248"/>
      <c r="N47" s="638"/>
      <c r="O47" s="655"/>
      <c r="P47" s="646"/>
      <c r="Q47" s="186"/>
      <c r="R47" s="186"/>
      <c r="S47" s="156"/>
      <c r="T47" s="149"/>
      <c r="U47" s="150"/>
      <c r="V47" s="151"/>
      <c r="W47" s="152"/>
      <c r="X47" s="152"/>
      <c r="Y47" s="141">
        <v>4004</v>
      </c>
      <c r="Z47" s="141"/>
      <c r="AA47" s="141"/>
      <c r="AB47" s="19"/>
      <c r="AC47" s="134"/>
      <c r="AD47" s="112"/>
      <c r="AE47" s="31"/>
      <c r="AF47" s="31"/>
      <c r="AG47" s="31"/>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22"/>
      <c r="BD47" s="135"/>
      <c r="BE47" s="135"/>
      <c r="BF47" s="135"/>
      <c r="BG47" s="31"/>
    </row>
    <row r="48" spans="1:59" ht="12.75">
      <c r="A48" s="62"/>
      <c r="B48" s="203"/>
      <c r="C48" s="182" t="s">
        <v>918</v>
      </c>
      <c r="D48" s="669"/>
      <c r="E48" s="432"/>
      <c r="F48" s="140"/>
      <c r="G48" s="108"/>
      <c r="H48" s="109"/>
      <c r="I48" s="532"/>
      <c r="J48" s="64"/>
      <c r="K48" s="201"/>
      <c r="L48" s="139"/>
      <c r="M48" s="248"/>
      <c r="N48" s="638"/>
      <c r="O48" s="655"/>
      <c r="P48" s="646"/>
      <c r="Q48" s="186"/>
      <c r="R48" s="186"/>
      <c r="S48" s="156"/>
      <c r="T48" s="149"/>
      <c r="U48" s="150"/>
      <c r="V48" s="151"/>
      <c r="W48" s="152"/>
      <c r="X48" s="152"/>
      <c r="Y48" s="141">
        <v>9348</v>
      </c>
      <c r="Z48" s="141"/>
      <c r="AA48" s="141"/>
      <c r="AB48" s="19"/>
      <c r="AC48" s="134"/>
      <c r="AD48" s="112"/>
      <c r="AE48" s="31"/>
      <c r="AF48" s="31"/>
      <c r="AG48" s="31"/>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22"/>
      <c r="BD48" s="135"/>
      <c r="BE48" s="135"/>
      <c r="BF48" s="135"/>
      <c r="BG48" s="31"/>
    </row>
    <row r="49" spans="1:59" ht="12.75">
      <c r="A49" s="62">
        <v>14</v>
      </c>
      <c r="B49" s="203" t="s">
        <v>919</v>
      </c>
      <c r="C49" s="182" t="s">
        <v>920</v>
      </c>
      <c r="D49" s="669" t="s">
        <v>921</v>
      </c>
      <c r="E49" s="432">
        <v>0.017</v>
      </c>
      <c r="F49" s="140"/>
      <c r="G49" s="108"/>
      <c r="H49" s="109"/>
      <c r="I49" s="532" t="str">
        <f>R</f>
        <v>Réelle</v>
      </c>
      <c r="J49" s="64" t="s">
        <v>922</v>
      </c>
      <c r="K49" s="202">
        <v>0.017</v>
      </c>
      <c r="L49" s="139"/>
      <c r="M49" s="248" t="str">
        <f>"(9)"</f>
        <v>(9)</v>
      </c>
      <c r="N49" s="638"/>
      <c r="O49" s="532" t="s">
        <v>923</v>
      </c>
      <c r="P49" s="646" t="s">
        <v>924</v>
      </c>
      <c r="Q49" s="186" t="str">
        <f>VI</f>
        <v>(25)</v>
      </c>
      <c r="R49" s="186" t="str">
        <f>VI</f>
        <v>(25)</v>
      </c>
      <c r="S49" s="156"/>
      <c r="W49" s="152" t="str">
        <f>t</f>
        <v>TVO</v>
      </c>
      <c r="X49" s="152"/>
      <c r="Y49" s="32"/>
      <c r="Z49" s="32"/>
      <c r="AA49" s="141"/>
      <c r="AB49" s="19"/>
      <c r="AC49" s="134"/>
      <c r="AD49" s="112"/>
      <c r="AE49" s="31"/>
      <c r="AF49" s="31"/>
      <c r="AG49" s="31"/>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22"/>
      <c r="BD49" s="135"/>
      <c r="BE49" s="135"/>
      <c r="BF49" s="135"/>
      <c r="BG49" s="31"/>
    </row>
    <row r="50" spans="1:59" ht="12.75">
      <c r="A50" s="62">
        <v>15</v>
      </c>
      <c r="B50" s="203" t="s">
        <v>925</v>
      </c>
      <c r="C50" s="182" t="s">
        <v>926</v>
      </c>
      <c r="D50" s="669" t="s">
        <v>927</v>
      </c>
      <c r="E50" s="432">
        <v>0.017</v>
      </c>
      <c r="F50" s="140"/>
      <c r="G50" s="108"/>
      <c r="H50" s="109"/>
      <c r="I50" s="532" t="str">
        <f>R</f>
        <v>Réelle</v>
      </c>
      <c r="J50" s="64" t="str">
        <f>P</f>
        <v>. . .</v>
      </c>
      <c r="K50" s="202">
        <v>0.017</v>
      </c>
      <c r="L50" s="139"/>
      <c r="M50" s="248" t="s">
        <v>928</v>
      </c>
      <c r="N50" s="638"/>
      <c r="O50" s="532" t="s">
        <v>929</v>
      </c>
      <c r="P50" s="646" t="s">
        <v>930</v>
      </c>
      <c r="Q50" s="186" t="str">
        <f>VI</f>
        <v>(25)</v>
      </c>
      <c r="R50" s="186" t="str">
        <f>VI</f>
        <v>(25)</v>
      </c>
      <c r="S50" s="156"/>
      <c r="W50" s="152" t="str">
        <f>t</f>
        <v>TVO</v>
      </c>
      <c r="X50" s="152"/>
      <c r="Y50" s="141">
        <v>4004</v>
      </c>
      <c r="Z50" s="32"/>
      <c r="AA50" s="32"/>
      <c r="AB50" s="19"/>
      <c r="AC50" s="134"/>
      <c r="AD50" s="112"/>
      <c r="AE50" s="31"/>
      <c r="AF50" s="31"/>
      <c r="AG50" s="31"/>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22"/>
      <c r="BD50" s="135"/>
      <c r="BE50" s="135"/>
      <c r="BF50" s="135"/>
      <c r="BG50" s="31"/>
    </row>
    <row r="51" spans="1:59" ht="12.75">
      <c r="A51" s="62"/>
      <c r="B51" s="203"/>
      <c r="C51" s="176" t="s">
        <v>931</v>
      </c>
      <c r="D51" s="669"/>
      <c r="E51" s="432"/>
      <c r="F51" s="140"/>
      <c r="G51" s="108"/>
      <c r="H51" s="109"/>
      <c r="I51" s="532"/>
      <c r="J51" s="64"/>
      <c r="K51" s="201"/>
      <c r="L51" s="139"/>
      <c r="M51" s="248"/>
      <c r="N51" s="638"/>
      <c r="O51" s="655"/>
      <c r="P51" s="646"/>
      <c r="Q51" s="186"/>
      <c r="R51" s="186"/>
      <c r="S51" s="156"/>
      <c r="W51" s="73"/>
      <c r="X51" s="73"/>
      <c r="Y51" s="141">
        <v>9348</v>
      </c>
      <c r="Z51" s="141"/>
      <c r="AA51" s="32"/>
      <c r="AB51" s="19"/>
      <c r="AC51" s="134"/>
      <c r="AD51" s="112"/>
      <c r="AE51" s="31"/>
      <c r="AF51" s="31"/>
      <c r="AG51" s="31"/>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22"/>
      <c r="BD51" s="135"/>
      <c r="BE51" s="135"/>
      <c r="BF51" s="135"/>
      <c r="BG51" s="31"/>
    </row>
    <row r="52" spans="1:59" ht="12.75">
      <c r="A52" s="62">
        <v>16</v>
      </c>
      <c r="B52" s="203" t="s">
        <v>932</v>
      </c>
      <c r="C52" s="182" t="s">
        <v>933</v>
      </c>
      <c r="D52" s="669" t="s">
        <v>934</v>
      </c>
      <c r="E52" s="432">
        <v>0.017</v>
      </c>
      <c r="F52" s="140"/>
      <c r="G52" s="108"/>
      <c r="H52" s="109"/>
      <c r="I52" s="532" t="str">
        <f>R</f>
        <v>Réelle</v>
      </c>
      <c r="J52" s="64" t="s">
        <v>935</v>
      </c>
      <c r="K52" s="202">
        <v>0.017</v>
      </c>
      <c r="L52" s="139"/>
      <c r="M52" s="248" t="str">
        <f>"(9)"</f>
        <v>(9)</v>
      </c>
      <c r="N52" s="638"/>
      <c r="O52" s="532" t="s">
        <v>936</v>
      </c>
      <c r="P52" s="646" t="s">
        <v>937</v>
      </c>
      <c r="Q52" s="186" t="str">
        <f>VI</f>
        <v>(25)</v>
      </c>
      <c r="R52" s="186" t="str">
        <f>VI</f>
        <v>(25)</v>
      </c>
      <c r="S52" s="165"/>
      <c r="W52" s="152" t="str">
        <f>t</f>
        <v>TVO</v>
      </c>
      <c r="X52" s="152"/>
      <c r="Y52" s="32"/>
      <c r="Z52" s="32"/>
      <c r="AA52" s="141"/>
      <c r="AB52" s="19"/>
      <c r="AC52" s="134"/>
      <c r="AD52" s="112"/>
      <c r="AE52" s="31"/>
      <c r="AF52" s="31"/>
      <c r="AG52" s="31"/>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22"/>
      <c r="BD52" s="135"/>
      <c r="BE52" s="135"/>
      <c r="BF52" s="135"/>
      <c r="BG52" s="31"/>
    </row>
    <row r="53" spans="1:59" ht="12.75">
      <c r="A53" s="62">
        <v>17</v>
      </c>
      <c r="B53" s="203" t="s">
        <v>938</v>
      </c>
      <c r="C53" s="182" t="s">
        <v>939</v>
      </c>
      <c r="D53" s="669" t="s">
        <v>940</v>
      </c>
      <c r="E53" s="432">
        <v>0.017</v>
      </c>
      <c r="F53" s="140"/>
      <c r="G53" s="108"/>
      <c r="H53" s="109"/>
      <c r="I53" s="532" t="str">
        <f>R</f>
        <v>Réelle</v>
      </c>
      <c r="J53" s="64" t="str">
        <f>P</f>
        <v>. . .</v>
      </c>
      <c r="K53" s="202">
        <v>0.017</v>
      </c>
      <c r="L53" s="139"/>
      <c r="M53" s="248" t="s">
        <v>941</v>
      </c>
      <c r="N53" s="638"/>
      <c r="O53" s="532" t="s">
        <v>942</v>
      </c>
      <c r="P53" s="646" t="s">
        <v>943</v>
      </c>
      <c r="Q53" s="186" t="str">
        <f>VI</f>
        <v>(25)</v>
      </c>
      <c r="R53" s="186" t="str">
        <f>VI</f>
        <v>(25)</v>
      </c>
      <c r="S53" s="165"/>
      <c r="W53" s="152" t="str">
        <f>t</f>
        <v>TVO</v>
      </c>
      <c r="X53" s="152"/>
      <c r="Y53" s="141">
        <v>4004</v>
      </c>
      <c r="Z53" s="32"/>
      <c r="AA53" s="32"/>
      <c r="AB53" s="204"/>
      <c r="AC53" s="134"/>
      <c r="AD53" s="112"/>
      <c r="AE53" s="31"/>
      <c r="AF53" s="31"/>
      <c r="AG53" s="31"/>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6"/>
      <c r="BD53" s="205"/>
      <c r="BE53" s="205"/>
      <c r="BF53" s="205"/>
      <c r="BG53" s="207"/>
    </row>
    <row r="54" spans="1:59" ht="12.75">
      <c r="A54" s="62"/>
      <c r="B54" s="203"/>
      <c r="C54" s="179" t="s">
        <v>944</v>
      </c>
      <c r="D54" s="669"/>
      <c r="E54" s="432"/>
      <c r="F54" s="140"/>
      <c r="G54" s="108"/>
      <c r="H54" s="109"/>
      <c r="I54" s="532"/>
      <c r="J54" s="64"/>
      <c r="K54" s="201"/>
      <c r="L54" s="139"/>
      <c r="M54" s="248"/>
      <c r="N54" s="638"/>
      <c r="O54" s="655"/>
      <c r="P54" s="646"/>
      <c r="Q54" s="186"/>
      <c r="R54" s="186"/>
      <c r="S54" s="156"/>
      <c r="W54" s="73"/>
      <c r="X54" s="73"/>
      <c r="Y54" s="141">
        <v>9348</v>
      </c>
      <c r="Z54" s="141"/>
      <c r="AA54" s="32"/>
      <c r="AB54" s="204"/>
      <c r="AC54" s="134"/>
      <c r="AD54" s="112"/>
      <c r="AE54" s="31"/>
      <c r="AF54" s="31"/>
      <c r="AG54" s="31"/>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6"/>
      <c r="BD54" s="205"/>
      <c r="BE54" s="205"/>
      <c r="BF54" s="205"/>
      <c r="BG54" s="207"/>
    </row>
    <row r="55" spans="1:59" ht="12.75">
      <c r="A55" s="62">
        <v>18</v>
      </c>
      <c r="B55" s="203" t="s">
        <v>945</v>
      </c>
      <c r="C55" s="182" t="s">
        <v>946</v>
      </c>
      <c r="D55" s="669" t="s">
        <v>947</v>
      </c>
      <c r="E55" s="432" t="s">
        <v>948</v>
      </c>
      <c r="F55" s="140"/>
      <c r="G55" s="108"/>
      <c r="H55" s="109"/>
      <c r="I55" s="532" t="str">
        <f>R</f>
        <v>Réelle</v>
      </c>
      <c r="J55" s="64" t="s">
        <v>949</v>
      </c>
      <c r="K55" s="201" t="s">
        <v>950</v>
      </c>
      <c r="L55" s="139"/>
      <c r="M55" s="248" t="str">
        <f>"(9)"</f>
        <v>(9)</v>
      </c>
      <c r="N55" s="638"/>
      <c r="O55" s="532" t="s">
        <v>951</v>
      </c>
      <c r="P55" s="646" t="s">
        <v>952</v>
      </c>
      <c r="Q55" s="186" t="str">
        <f>VI</f>
        <v>(25)</v>
      </c>
      <c r="R55" s="186" t="str">
        <f>VI</f>
        <v>(25)</v>
      </c>
      <c r="S55" s="165"/>
      <c r="W55" s="152" t="str">
        <f>t</f>
        <v>TVO</v>
      </c>
      <c r="X55" s="152"/>
      <c r="Y55" s="32"/>
      <c r="Z55" s="32"/>
      <c r="AA55" s="141"/>
      <c r="AB55" s="204"/>
      <c r="AC55" s="208"/>
      <c r="AD55" s="209"/>
      <c r="AE55" s="205"/>
      <c r="AF55" s="210"/>
      <c r="AG55" s="210"/>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6"/>
      <c r="BD55" s="205"/>
      <c r="BE55" s="205"/>
      <c r="BF55" s="205"/>
      <c r="BG55" s="207"/>
    </row>
    <row r="56" spans="1:59" ht="12.75">
      <c r="A56" s="62">
        <v>19</v>
      </c>
      <c r="B56" s="203" t="s">
        <v>953</v>
      </c>
      <c r="C56" s="182" t="s">
        <v>954</v>
      </c>
      <c r="D56" s="669" t="s">
        <v>955</v>
      </c>
      <c r="E56" s="432" t="s">
        <v>956</v>
      </c>
      <c r="F56" s="140"/>
      <c r="G56" s="108"/>
      <c r="H56" s="109"/>
      <c r="I56" s="532" t="str">
        <f>R</f>
        <v>Réelle</v>
      </c>
      <c r="J56" s="64" t="str">
        <f>P</f>
        <v>. . .</v>
      </c>
      <c r="K56" s="201" t="s">
        <v>957</v>
      </c>
      <c r="L56" s="139"/>
      <c r="M56" s="248" t="s">
        <v>958</v>
      </c>
      <c r="N56" s="638"/>
      <c r="O56" s="532" t="s">
        <v>959</v>
      </c>
      <c r="P56" s="646" t="s">
        <v>960</v>
      </c>
      <c r="Q56" s="186" t="str">
        <f>VI</f>
        <v>(25)</v>
      </c>
      <c r="R56" s="186" t="str">
        <f>VI</f>
        <v>(25)</v>
      </c>
      <c r="S56" s="165"/>
      <c r="W56" s="152" t="str">
        <f>t</f>
        <v>TVO</v>
      </c>
      <c r="X56" s="152"/>
      <c r="Y56" s="32"/>
      <c r="Z56" s="32"/>
      <c r="AA56" s="32"/>
      <c r="AB56" s="204"/>
      <c r="AC56" s="208"/>
      <c r="AD56" s="209"/>
      <c r="AE56" s="205"/>
      <c r="AF56" s="210"/>
      <c r="AG56" s="210"/>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6"/>
      <c r="BD56" s="205"/>
      <c r="BE56" s="205"/>
      <c r="BF56" s="205"/>
      <c r="BG56" s="207"/>
    </row>
    <row r="57" spans="1:59" ht="12.75">
      <c r="A57" s="62"/>
      <c r="B57" s="74"/>
      <c r="C57" s="182"/>
      <c r="D57" s="669"/>
      <c r="E57" s="432"/>
      <c r="F57" s="140"/>
      <c r="G57" s="108"/>
      <c r="H57" s="109"/>
      <c r="I57" s="532"/>
      <c r="J57" s="64"/>
      <c r="K57" s="201"/>
      <c r="L57" s="139"/>
      <c r="M57" s="248"/>
      <c r="N57" s="638"/>
      <c r="O57" s="655"/>
      <c r="P57" s="646"/>
      <c r="Q57" s="186"/>
      <c r="R57" s="186"/>
      <c r="S57" s="156"/>
      <c r="T57" s="70"/>
      <c r="U57" s="71"/>
      <c r="V57" s="72"/>
      <c r="W57" s="73"/>
      <c r="X57" s="73"/>
      <c r="Y57" s="141"/>
      <c r="Z57" s="141"/>
      <c r="AA57" s="32"/>
      <c r="AB57" s="204"/>
      <c r="AC57" s="208"/>
      <c r="AD57" s="209"/>
      <c r="AE57" s="205"/>
      <c r="AF57" s="210"/>
      <c r="AG57" s="210"/>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6"/>
      <c r="BD57" s="205"/>
      <c r="BE57" s="205"/>
      <c r="BF57" s="205"/>
      <c r="BG57" s="207"/>
    </row>
    <row r="58" spans="1:59" ht="12.75">
      <c r="A58" s="211"/>
      <c r="B58" s="212" t="s">
        <v>961</v>
      </c>
      <c r="C58" s="143" t="s">
        <v>962</v>
      </c>
      <c r="D58" s="673" t="s">
        <v>963</v>
      </c>
      <c r="E58" s="693" t="s">
        <v>964</v>
      </c>
      <c r="F58" s="694"/>
      <c r="G58" s="213" t="s">
        <v>965</v>
      </c>
      <c r="H58" s="214" t="s">
        <v>966</v>
      </c>
      <c r="I58" s="709" t="s">
        <v>967</v>
      </c>
      <c r="J58" s="709" t="s">
        <v>968</v>
      </c>
      <c r="K58" s="215" t="s">
        <v>969</v>
      </c>
      <c r="L58" s="215"/>
      <c r="M58" s="248" t="s">
        <v>970</v>
      </c>
      <c r="N58" s="346"/>
      <c r="O58" s="658"/>
      <c r="P58" s="647"/>
      <c r="Q58" s="186" t="s">
        <v>971</v>
      </c>
      <c r="R58" s="186" t="s">
        <v>972</v>
      </c>
      <c r="S58" s="165"/>
      <c r="T58" s="70"/>
      <c r="U58" s="71"/>
      <c r="V58" s="72"/>
      <c r="W58" s="73"/>
      <c r="X58" s="73"/>
      <c r="Y58" s="217"/>
      <c r="Z58" s="217"/>
      <c r="AA58" s="141"/>
      <c r="AB58" s="204"/>
      <c r="AC58" s="208"/>
      <c r="AD58" s="209"/>
      <c r="AE58" s="205"/>
      <c r="AF58" s="210"/>
      <c r="AG58" s="210"/>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6"/>
      <c r="BD58" s="205"/>
      <c r="BE58" s="205"/>
      <c r="BF58" s="205"/>
      <c r="BG58" s="207"/>
    </row>
    <row r="59" spans="1:59" ht="12.75">
      <c r="A59" s="211"/>
      <c r="B59" s="212"/>
      <c r="C59" s="218"/>
      <c r="D59" s="673"/>
      <c r="E59" s="693"/>
      <c r="F59" s="694"/>
      <c r="G59" s="213"/>
      <c r="H59" s="214"/>
      <c r="I59" s="709"/>
      <c r="J59" s="709"/>
      <c r="K59" s="215"/>
      <c r="L59" s="215"/>
      <c r="M59" s="248"/>
      <c r="N59" s="346"/>
      <c r="O59" s="658"/>
      <c r="P59" s="647"/>
      <c r="Q59" s="186"/>
      <c r="R59" s="186"/>
      <c r="S59" s="165"/>
      <c r="T59" s="149"/>
      <c r="U59" s="150"/>
      <c r="V59" s="151"/>
      <c r="W59" s="152"/>
      <c r="X59" s="152"/>
      <c r="Y59" s="217">
        <v>9348</v>
      </c>
      <c r="Z59" s="217"/>
      <c r="AA59" s="217"/>
      <c r="AB59" s="204"/>
      <c r="AC59" s="208"/>
      <c r="AD59" s="209"/>
      <c r="AE59" s="205"/>
      <c r="AF59" s="210"/>
      <c r="AG59" s="210"/>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6"/>
      <c r="BD59" s="205"/>
      <c r="BE59" s="205"/>
      <c r="BF59" s="205"/>
      <c r="BG59" s="207"/>
    </row>
    <row r="60" spans="1:59" ht="12.75">
      <c r="A60" s="62"/>
      <c r="B60" s="31"/>
      <c r="C60" s="219" t="s">
        <v>973</v>
      </c>
      <c r="D60" s="669"/>
      <c r="E60" s="432"/>
      <c r="F60" s="140"/>
      <c r="G60" s="108"/>
      <c r="H60" s="109"/>
      <c r="I60" s="64"/>
      <c r="J60" s="64"/>
      <c r="K60" s="139"/>
      <c r="L60" s="139"/>
      <c r="M60" s="248"/>
      <c r="N60" s="638"/>
      <c r="O60" s="655"/>
      <c r="P60" s="646"/>
      <c r="Q60" s="186"/>
      <c r="R60" s="186"/>
      <c r="S60" s="156"/>
      <c r="T60" s="220"/>
      <c r="U60" s="221"/>
      <c r="V60" s="222"/>
      <c r="W60" s="223"/>
      <c r="X60" s="223"/>
      <c r="Y60" s="32">
        <v>9348</v>
      </c>
      <c r="Z60" s="32"/>
      <c r="AA60" s="217"/>
      <c r="AB60" s="204"/>
      <c r="AC60" s="208"/>
      <c r="AD60" s="209"/>
      <c r="AE60" s="205"/>
      <c r="AF60" s="210"/>
      <c r="AG60" s="210"/>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6"/>
      <c r="BD60" s="205"/>
      <c r="BE60" s="205"/>
      <c r="BF60" s="205"/>
      <c r="BG60" s="207"/>
    </row>
    <row r="61" spans="1:59" ht="12.75">
      <c r="A61" s="62">
        <v>20</v>
      </c>
      <c r="B61" s="74" t="s">
        <v>974</v>
      </c>
      <c r="C61" s="182" t="s">
        <v>975</v>
      </c>
      <c r="D61" s="81" t="str">
        <f>P</f>
        <v>. . .</v>
      </c>
      <c r="E61" s="432" t="s">
        <v>976</v>
      </c>
      <c r="F61" s="140"/>
      <c r="G61" s="183" t="s">
        <v>977</v>
      </c>
      <c r="H61" s="63" t="s">
        <v>978</v>
      </c>
      <c r="I61" s="64">
        <f>vfspb</f>
        <v>39.5</v>
      </c>
      <c r="J61" s="64" t="s">
        <v>979</v>
      </c>
      <c r="K61" s="138" t="s">
        <v>980</v>
      </c>
      <c r="L61" s="138"/>
      <c r="M61" s="248">
        <f>TISP</f>
        <v>58.92</v>
      </c>
      <c r="N61" s="638"/>
      <c r="O61" s="655" t="str">
        <f aca="true" t="shared" si="1" ref="O61:P63">P</f>
        <v>. . .</v>
      </c>
      <c r="P61" s="646" t="str">
        <f t="shared" si="1"/>
        <v>. . .</v>
      </c>
      <c r="Q61" s="186">
        <f>SUM(I61:P61)*19.6%</f>
        <v>19.29032</v>
      </c>
      <c r="R61" s="186">
        <f>SUM(I61:P61)*13%</f>
        <v>12.7946</v>
      </c>
      <c r="S61" s="224"/>
      <c r="T61" s="220">
        <v>5734</v>
      </c>
      <c r="U61" s="221"/>
      <c r="W61" s="225">
        <v>5903</v>
      </c>
      <c r="X61" s="225"/>
      <c r="Y61" s="32">
        <v>9348</v>
      </c>
      <c r="Z61" s="32"/>
      <c r="AA61" s="32"/>
      <c r="AB61" s="204"/>
      <c r="AC61" s="208"/>
      <c r="AD61" s="209"/>
      <c r="AE61" s="205"/>
      <c r="AF61" s="210"/>
      <c r="AG61" s="210"/>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6"/>
      <c r="BD61" s="205"/>
      <c r="BE61" s="205"/>
      <c r="BF61" s="205"/>
      <c r="BG61" s="207"/>
    </row>
    <row r="62" spans="1:59" ht="12.75">
      <c r="A62" s="62">
        <v>21</v>
      </c>
      <c r="B62" s="74" t="s">
        <v>981</v>
      </c>
      <c r="C62" s="182" t="s">
        <v>982</v>
      </c>
      <c r="D62" s="81" t="str">
        <f>P</f>
        <v>. . .</v>
      </c>
      <c r="E62" s="432" t="s">
        <v>983</v>
      </c>
      <c r="F62" s="140"/>
      <c r="G62" s="183" t="s">
        <v>984</v>
      </c>
      <c r="H62" s="63" t="s">
        <v>985</v>
      </c>
      <c r="I62" s="64">
        <f>VFGO</f>
        <v>38.35</v>
      </c>
      <c r="J62" s="64" t="s">
        <v>986</v>
      </c>
      <c r="K62" s="138" t="s">
        <v>987</v>
      </c>
      <c r="L62" s="138"/>
      <c r="M62" s="248">
        <f>TIGO</f>
        <v>41.69</v>
      </c>
      <c r="N62" s="638"/>
      <c r="O62" s="655" t="str">
        <f t="shared" si="1"/>
        <v>. . .</v>
      </c>
      <c r="P62" s="646" t="str">
        <f t="shared" si="1"/>
        <v>. . .</v>
      </c>
      <c r="Q62" s="186">
        <f>TVAGOMETRO</f>
        <v>15.68784</v>
      </c>
      <c r="R62" s="186">
        <f>TVAGOCORSE</f>
        <v>10.405199999999999</v>
      </c>
      <c r="S62" s="224"/>
      <c r="T62" s="70">
        <v>5731</v>
      </c>
      <c r="U62" s="71"/>
      <c r="W62" s="226">
        <v>5938</v>
      </c>
      <c r="X62" s="226"/>
      <c r="Y62" s="32"/>
      <c r="Z62" s="32"/>
      <c r="AA62" s="32"/>
      <c r="AB62" s="204"/>
      <c r="AC62" s="208"/>
      <c r="AD62" s="209"/>
      <c r="AE62" s="205"/>
      <c r="AF62" s="210"/>
      <c r="AG62" s="210"/>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6"/>
      <c r="BD62" s="205"/>
      <c r="BE62" s="205"/>
      <c r="BF62" s="205"/>
      <c r="BG62" s="207"/>
    </row>
    <row r="63" spans="1:59" ht="12.75">
      <c r="A63" s="62">
        <v>22</v>
      </c>
      <c r="B63" s="74" t="s">
        <v>988</v>
      </c>
      <c r="C63" s="182" t="s">
        <v>989</v>
      </c>
      <c r="D63" s="81" t="str">
        <f>P</f>
        <v>. . .</v>
      </c>
      <c r="E63" s="432" t="s">
        <v>990</v>
      </c>
      <c r="F63" s="140"/>
      <c r="G63" s="183" t="s">
        <v>991</v>
      </c>
      <c r="H63" s="63" t="s">
        <v>992</v>
      </c>
      <c r="I63" s="532">
        <f>VFFHS</f>
        <v>19.27</v>
      </c>
      <c r="J63" s="64" t="s">
        <v>993</v>
      </c>
      <c r="K63" s="138" t="s">
        <v>994</v>
      </c>
      <c r="L63" s="138"/>
      <c r="M63" s="248">
        <f>TIFBTS</f>
        <v>1.85</v>
      </c>
      <c r="N63" s="638"/>
      <c r="O63" s="655" t="str">
        <f t="shared" si="1"/>
        <v>. . .</v>
      </c>
      <c r="P63" s="646" t="str">
        <f t="shared" si="1"/>
        <v>. . .</v>
      </c>
      <c r="Q63" s="186">
        <f>TVAFLHTSMETRO</f>
        <v>4.270840000000001</v>
      </c>
      <c r="R63" s="186">
        <f>TVAFLHTSCORSE</f>
        <v>2.8327000000000004</v>
      </c>
      <c r="S63" s="69"/>
      <c r="T63" s="70">
        <v>5713</v>
      </c>
      <c r="U63" s="71"/>
      <c r="W63" s="226">
        <v>5902</v>
      </c>
      <c r="X63" s="226"/>
      <c r="Y63" s="217">
        <v>9348</v>
      </c>
      <c r="Z63" s="32"/>
      <c r="AA63" s="32"/>
      <c r="AB63" s="204"/>
      <c r="AC63" s="208"/>
      <c r="AD63" s="209"/>
      <c r="AE63" s="205"/>
      <c r="AF63" s="210"/>
      <c r="AG63" s="210"/>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6"/>
      <c r="BD63" s="205"/>
      <c r="BE63" s="205"/>
      <c r="BF63" s="205"/>
      <c r="BG63" s="207"/>
    </row>
    <row r="64" spans="1:59" ht="12.75">
      <c r="A64" s="62"/>
      <c r="B64" s="31"/>
      <c r="C64" s="159" t="s">
        <v>995</v>
      </c>
      <c r="D64" s="81"/>
      <c r="E64" s="432"/>
      <c r="F64" s="140"/>
      <c r="G64" s="183"/>
      <c r="H64" s="63"/>
      <c r="I64" s="64"/>
      <c r="J64" s="64"/>
      <c r="K64" s="138"/>
      <c r="L64" s="138"/>
      <c r="M64" s="248"/>
      <c r="N64" s="638"/>
      <c r="O64" s="655"/>
      <c r="P64" s="646"/>
      <c r="Q64" s="186"/>
      <c r="R64" s="186"/>
      <c r="S64" s="165"/>
      <c r="T64" s="70"/>
      <c r="U64" s="71"/>
      <c r="W64" s="73"/>
      <c r="X64" s="73"/>
      <c r="Y64" s="32">
        <v>9348</v>
      </c>
      <c r="Z64" s="32"/>
      <c r="AA64" s="32"/>
      <c r="AB64" s="204"/>
      <c r="AC64" s="208"/>
      <c r="AD64" s="209"/>
      <c r="AE64" s="205"/>
      <c r="AF64" s="210"/>
      <c r="AG64" s="210"/>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6"/>
      <c r="BD64" s="205"/>
      <c r="BE64" s="205"/>
      <c r="BF64" s="205"/>
      <c r="BG64" s="207"/>
    </row>
    <row r="65" spans="1:59" ht="12.75">
      <c r="A65" s="62">
        <v>23</v>
      </c>
      <c r="B65" s="74" t="s">
        <v>996</v>
      </c>
      <c r="C65" s="182" t="s">
        <v>997</v>
      </c>
      <c r="D65" s="81" t="str">
        <f>P</f>
        <v>. . .</v>
      </c>
      <c r="E65" s="432" t="s">
        <v>998</v>
      </c>
      <c r="F65" s="140"/>
      <c r="G65" s="183" t="s">
        <v>999</v>
      </c>
      <c r="H65" s="63" t="s">
        <v>1000</v>
      </c>
      <c r="I65" s="64">
        <f>vfspb</f>
        <v>39.5</v>
      </c>
      <c r="J65" s="64" t="s">
        <v>1001</v>
      </c>
      <c r="K65" s="138" t="s">
        <v>1002</v>
      </c>
      <c r="L65" s="138"/>
      <c r="M65" s="248">
        <f>TISP</f>
        <v>58.92</v>
      </c>
      <c r="N65" s="638"/>
      <c r="O65" s="655" t="str">
        <f aca="true" t="shared" si="2" ref="O65:P67">P</f>
        <v>. . .</v>
      </c>
      <c r="P65" s="646" t="str">
        <f t="shared" si="2"/>
        <v>. . .</v>
      </c>
      <c r="Q65" s="186">
        <f>TVAcondM</f>
        <v>19.29032</v>
      </c>
      <c r="R65" s="186">
        <f>TVAcondC</f>
        <v>12.7946</v>
      </c>
      <c r="S65" s="69"/>
      <c r="T65" s="220">
        <v>5734</v>
      </c>
      <c r="U65" s="221"/>
      <c r="W65" s="225">
        <v>5903</v>
      </c>
      <c r="X65" s="225"/>
      <c r="Y65" s="32">
        <v>9348</v>
      </c>
      <c r="Z65" s="32"/>
      <c r="AA65" s="32"/>
      <c r="AB65" s="204"/>
      <c r="AC65" s="208"/>
      <c r="AD65" s="209"/>
      <c r="AE65" s="205"/>
      <c r="AF65" s="210"/>
      <c r="AG65" s="210"/>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6"/>
      <c r="BD65" s="205"/>
      <c r="BE65" s="205"/>
      <c r="BF65" s="205"/>
      <c r="BG65" s="207"/>
    </row>
    <row r="66" spans="1:59" ht="12.75">
      <c r="A66" s="62">
        <v>24</v>
      </c>
      <c r="B66" s="74" t="s">
        <v>1003</v>
      </c>
      <c r="C66" s="182" t="s">
        <v>1004</v>
      </c>
      <c r="D66" s="81" t="str">
        <f>P</f>
        <v>. . .</v>
      </c>
      <c r="E66" s="432" t="s">
        <v>1005</v>
      </c>
      <c r="F66" s="140"/>
      <c r="G66" s="183" t="s">
        <v>1006</v>
      </c>
      <c r="H66" s="63" t="s">
        <v>1007</v>
      </c>
      <c r="I66" s="64">
        <f>VFGO</f>
        <v>38.35</v>
      </c>
      <c r="J66" s="64" t="s">
        <v>1008</v>
      </c>
      <c r="K66" s="138" t="s">
        <v>1009</v>
      </c>
      <c r="L66" s="138"/>
      <c r="M66" s="248">
        <f>TIGO</f>
        <v>41.69</v>
      </c>
      <c r="N66" s="638"/>
      <c r="O66" s="655" t="str">
        <f t="shared" si="2"/>
        <v>. . .</v>
      </c>
      <c r="P66" s="646" t="str">
        <f t="shared" si="2"/>
        <v>. . .</v>
      </c>
      <c r="Q66" s="186">
        <f>TVAGOMETRO</f>
        <v>15.68784</v>
      </c>
      <c r="R66" s="186">
        <f>TVAGOCORSE</f>
        <v>10.405199999999999</v>
      </c>
      <c r="S66" s="165"/>
      <c r="T66" s="70">
        <v>5731</v>
      </c>
      <c r="U66" s="71"/>
      <c r="W66" s="226">
        <v>5938</v>
      </c>
      <c r="X66" s="226"/>
      <c r="Y66" s="32"/>
      <c r="Z66" s="32"/>
      <c r="AA66" s="32"/>
      <c r="AB66" s="204"/>
      <c r="AC66" s="208"/>
      <c r="AD66" s="209"/>
      <c r="AE66" s="205"/>
      <c r="AF66" s="210"/>
      <c r="AG66" s="210"/>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6"/>
      <c r="BD66" s="205"/>
      <c r="BE66" s="205"/>
      <c r="BF66" s="205"/>
      <c r="BG66" s="207"/>
    </row>
    <row r="67" spans="1:60" ht="13.5" thickBot="1">
      <c r="A67" s="187">
        <v>25</v>
      </c>
      <c r="B67" s="188" t="s">
        <v>1010</v>
      </c>
      <c r="C67" s="189" t="s">
        <v>1011</v>
      </c>
      <c r="D67" s="674" t="str">
        <f>P</f>
        <v>. . .</v>
      </c>
      <c r="E67" s="689" t="s">
        <v>1012</v>
      </c>
      <c r="F67" s="690"/>
      <c r="G67" s="227" t="s">
        <v>1013</v>
      </c>
      <c r="H67" s="228" t="s">
        <v>1014</v>
      </c>
      <c r="I67" s="656">
        <f>VFFHS</f>
        <v>19.27</v>
      </c>
      <c r="J67" s="708" t="s">
        <v>1015</v>
      </c>
      <c r="K67" s="190" t="s">
        <v>1016</v>
      </c>
      <c r="L67" s="190"/>
      <c r="M67" s="194">
        <f>TIFBTS</f>
        <v>1.85</v>
      </c>
      <c r="N67" s="484"/>
      <c r="O67" s="656" t="str">
        <f t="shared" si="2"/>
        <v>. . .</v>
      </c>
      <c r="P67" s="648" t="str">
        <f t="shared" si="2"/>
        <v>. . .</v>
      </c>
      <c r="Q67" s="343">
        <f>TVAFLHTSMETRO</f>
        <v>4.270840000000001</v>
      </c>
      <c r="R67" s="343">
        <f>TVAFLHTSCORSE</f>
        <v>2.8327000000000004</v>
      </c>
      <c r="S67" s="69"/>
      <c r="T67" s="70">
        <v>5713</v>
      </c>
      <c r="U67" s="71"/>
      <c r="W67" s="226">
        <v>5902</v>
      </c>
      <c r="X67" s="226"/>
      <c r="Y67" s="32"/>
      <c r="Z67" s="32"/>
      <c r="AA67" s="32"/>
      <c r="AB67" s="229"/>
      <c r="AC67" s="19"/>
      <c r="AD67" s="208"/>
      <c r="AE67" s="209"/>
      <c r="AF67" s="205"/>
      <c r="AG67" s="210"/>
      <c r="AH67" s="210"/>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22"/>
      <c r="BE67" s="135"/>
      <c r="BF67" s="135"/>
      <c r="BG67" s="135"/>
      <c r="BH67" s="31"/>
    </row>
    <row r="68" spans="1:59" ht="36">
      <c r="A68" s="197"/>
      <c r="B68" s="198"/>
      <c r="C68" s="230" t="s">
        <v>1017</v>
      </c>
      <c r="D68" s="672"/>
      <c r="E68" s="691"/>
      <c r="F68" s="692"/>
      <c r="G68" s="79"/>
      <c r="H68" s="80"/>
      <c r="I68" s="667"/>
      <c r="J68" s="667"/>
      <c r="K68" s="200"/>
      <c r="L68" s="200"/>
      <c r="M68" s="248"/>
      <c r="N68" s="184"/>
      <c r="O68" s="532"/>
      <c r="P68" s="234"/>
      <c r="Q68" s="186"/>
      <c r="R68" s="186"/>
      <c r="S68" s="165"/>
      <c r="T68" s="70"/>
      <c r="U68" s="71"/>
      <c r="V68" s="72"/>
      <c r="W68" s="73"/>
      <c r="X68" s="73"/>
      <c r="Y68" s="32"/>
      <c r="Z68" s="32"/>
      <c r="AA68" s="32"/>
      <c r="AB68" s="19"/>
      <c r="AC68" s="208"/>
      <c r="AD68" s="209"/>
      <c r="AE68" s="205"/>
      <c r="AF68" s="210"/>
      <c r="AG68" s="210"/>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22"/>
      <c r="BD68" s="135"/>
      <c r="BE68" s="135"/>
      <c r="BF68" s="135"/>
      <c r="BG68" s="31"/>
    </row>
    <row r="69" spans="1:59" ht="12.75">
      <c r="A69" s="62"/>
      <c r="B69" s="74"/>
      <c r="C69" s="176"/>
      <c r="D69" s="669"/>
      <c r="E69" s="432"/>
      <c r="F69" s="140"/>
      <c r="G69" s="108"/>
      <c r="H69" s="109"/>
      <c r="I69" s="64"/>
      <c r="J69" s="64"/>
      <c r="K69" s="139"/>
      <c r="L69" s="139"/>
      <c r="M69" s="248"/>
      <c r="N69" s="638"/>
      <c r="O69" s="655"/>
      <c r="P69" s="148"/>
      <c r="Q69" s="186"/>
      <c r="R69" s="186"/>
      <c r="S69" s="165"/>
      <c r="T69" s="70"/>
      <c r="U69" s="71"/>
      <c r="V69" s="72"/>
      <c r="W69" s="73"/>
      <c r="X69" s="73"/>
      <c r="Y69" s="32"/>
      <c r="Z69" s="32"/>
      <c r="AA69" s="32"/>
      <c r="AB69" s="204"/>
      <c r="AC69" s="20"/>
      <c r="AD69" s="21"/>
      <c r="AE69" s="135"/>
      <c r="AF69" s="135"/>
      <c r="AG69" s="13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6"/>
      <c r="BD69" s="205"/>
      <c r="BE69" s="205"/>
      <c r="BF69" s="205"/>
      <c r="BG69" s="207"/>
    </row>
    <row r="70" spans="1:59" ht="12.75">
      <c r="A70" s="211"/>
      <c r="B70" s="212" t="s">
        <v>1018</v>
      </c>
      <c r="C70" s="231" t="s">
        <v>1019</v>
      </c>
      <c r="D70" s="673" t="s">
        <v>1020</v>
      </c>
      <c r="E70" s="693" t="s">
        <v>1021</v>
      </c>
      <c r="F70" s="694"/>
      <c r="G70" s="213" t="s">
        <v>1022</v>
      </c>
      <c r="H70" s="214" t="s">
        <v>1023</v>
      </c>
      <c r="I70" s="709" t="s">
        <v>1024</v>
      </c>
      <c r="J70" s="709" t="s">
        <v>1025</v>
      </c>
      <c r="K70" s="215" t="s">
        <v>1026</v>
      </c>
      <c r="L70" s="215"/>
      <c r="M70" s="248" t="s">
        <v>1027</v>
      </c>
      <c r="N70" s="346"/>
      <c r="O70" s="658"/>
      <c r="P70" s="216"/>
      <c r="Q70" s="186" t="s">
        <v>1028</v>
      </c>
      <c r="R70" s="186" t="s">
        <v>1029</v>
      </c>
      <c r="S70" s="69"/>
      <c r="T70" s="70"/>
      <c r="U70" s="71"/>
      <c r="V70" s="72"/>
      <c r="W70" s="73"/>
      <c r="X70" s="73"/>
      <c r="Y70" s="97">
        <v>9052</v>
      </c>
      <c r="Z70" s="97">
        <v>9301</v>
      </c>
      <c r="AA70" s="32"/>
      <c r="AB70" s="204"/>
      <c r="AC70" s="20"/>
      <c r="AD70" s="21"/>
      <c r="AE70" s="22"/>
      <c r="AF70" s="22"/>
      <c r="AG70" s="22"/>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6"/>
      <c r="BD70" s="205"/>
      <c r="BE70" s="205"/>
      <c r="BF70" s="205"/>
      <c r="BG70" s="207"/>
    </row>
    <row r="71" spans="1:59" ht="12.75">
      <c r="A71" s="211"/>
      <c r="B71" s="212"/>
      <c r="C71" s="218"/>
      <c r="D71" s="673"/>
      <c r="E71" s="693"/>
      <c r="F71" s="694"/>
      <c r="G71" s="213"/>
      <c r="H71" s="214"/>
      <c r="I71" s="709"/>
      <c r="J71" s="709"/>
      <c r="K71" s="215"/>
      <c r="L71" s="215"/>
      <c r="M71" s="248"/>
      <c r="N71" s="346"/>
      <c r="O71" s="658"/>
      <c r="P71" s="216"/>
      <c r="Q71" s="186"/>
      <c r="R71" s="186"/>
      <c r="S71" s="69"/>
      <c r="T71" s="70"/>
      <c r="U71" s="71"/>
      <c r="V71" s="72"/>
      <c r="W71" s="73"/>
      <c r="X71" s="73"/>
      <c r="Y71" s="97"/>
      <c r="Z71" s="97"/>
      <c r="AA71" s="97"/>
      <c r="AB71" s="204"/>
      <c r="AC71" s="232"/>
      <c r="AD71" s="233"/>
      <c r="AE71" s="206"/>
      <c r="AF71" s="206"/>
      <c r="AG71" s="206"/>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6"/>
      <c r="BD71" s="205"/>
      <c r="BE71" s="205"/>
      <c r="BF71" s="205"/>
      <c r="BG71" s="207"/>
    </row>
    <row r="72" spans="1:59" ht="12.75">
      <c r="A72" s="62">
        <v>26</v>
      </c>
      <c r="B72" s="74" t="s">
        <v>1030</v>
      </c>
      <c r="C72" s="176" t="s">
        <v>1031</v>
      </c>
      <c r="D72" s="669" t="s">
        <v>1032</v>
      </c>
      <c r="E72" s="432" t="s">
        <v>1033</v>
      </c>
      <c r="F72" s="140"/>
      <c r="G72" s="108" t="s">
        <v>1034</v>
      </c>
      <c r="H72" s="109" t="s">
        <v>1035</v>
      </c>
      <c r="I72" s="64" t="str">
        <f>R</f>
        <v>Réelle</v>
      </c>
      <c r="J72" s="64" t="s">
        <v>1036</v>
      </c>
      <c r="K72" s="202" t="s">
        <v>1037</v>
      </c>
      <c r="L72" s="139"/>
      <c r="M72" s="248" t="str">
        <f>"(3)"</f>
        <v>(3)</v>
      </c>
      <c r="N72" s="638"/>
      <c r="O72" s="532" t="str">
        <f>P</f>
        <v>. . .</v>
      </c>
      <c r="P72" s="234" t="str">
        <f>"(3)"</f>
        <v>(3)</v>
      </c>
      <c r="Q72" s="186" t="str">
        <f>"(3)"</f>
        <v>(3)</v>
      </c>
      <c r="R72" s="186" t="str">
        <f>"(3)"</f>
        <v>(3)</v>
      </c>
      <c r="S72" s="69"/>
      <c r="W72" s="133" t="str">
        <f>t</f>
        <v>TVO</v>
      </c>
      <c r="X72" s="133">
        <v>5930</v>
      </c>
      <c r="Y72" s="97">
        <v>9052</v>
      </c>
      <c r="Z72" s="32">
        <v>9301</v>
      </c>
      <c r="AA72" s="97"/>
      <c r="AB72" s="204"/>
      <c r="AC72" s="232"/>
      <c r="AD72" s="233"/>
      <c r="AE72" s="206"/>
      <c r="AF72" s="206"/>
      <c r="AG72" s="206"/>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6"/>
      <c r="BD72" s="205"/>
      <c r="BE72" s="205"/>
      <c r="BF72" s="205"/>
      <c r="BG72" s="207"/>
    </row>
    <row r="73" spans="1:59" ht="12.75">
      <c r="A73" s="62">
        <v>27</v>
      </c>
      <c r="B73" s="74" t="s">
        <v>1038</v>
      </c>
      <c r="C73" s="176" t="s">
        <v>1039</v>
      </c>
      <c r="D73" s="669" t="s">
        <v>1040</v>
      </c>
      <c r="E73" s="432"/>
      <c r="F73" s="140"/>
      <c r="G73" s="108"/>
      <c r="H73" s="109"/>
      <c r="I73" s="64"/>
      <c r="J73" s="64"/>
      <c r="K73" s="139"/>
      <c r="L73" s="139"/>
      <c r="M73" s="248"/>
      <c r="N73" s="638"/>
      <c r="O73" s="655"/>
      <c r="P73" s="234"/>
      <c r="Q73" s="186"/>
      <c r="R73" s="186"/>
      <c r="S73" s="129"/>
      <c r="V73" s="132"/>
      <c r="W73" s="133"/>
      <c r="X73" s="133"/>
      <c r="Y73" s="32"/>
      <c r="Z73" s="32"/>
      <c r="AA73" s="32"/>
      <c r="AB73" s="204"/>
      <c r="AC73" s="232"/>
      <c r="AD73" s="233"/>
      <c r="AE73" s="206"/>
      <c r="AF73" s="206"/>
      <c r="AG73" s="206"/>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6"/>
      <c r="BD73" s="205"/>
      <c r="BE73" s="205"/>
      <c r="BF73" s="205"/>
      <c r="BG73" s="207"/>
    </row>
    <row r="74" spans="1:59" ht="12.75">
      <c r="A74" s="62"/>
      <c r="B74" s="74"/>
      <c r="C74" s="176" t="s">
        <v>1041</v>
      </c>
      <c r="D74" s="669" t="s">
        <v>1042</v>
      </c>
      <c r="E74" s="432" t="s">
        <v>1043</v>
      </c>
      <c r="F74" s="140"/>
      <c r="G74" s="108" t="s">
        <v>1044</v>
      </c>
      <c r="H74" s="109" t="s">
        <v>1045</v>
      </c>
      <c r="I74" s="64" t="str">
        <f>R</f>
        <v>Réelle</v>
      </c>
      <c r="J74" s="64" t="s">
        <v>1046</v>
      </c>
      <c r="K74" s="202" t="s">
        <v>1047</v>
      </c>
      <c r="L74" s="139"/>
      <c r="M74" s="248" t="str">
        <f>"(3)"</f>
        <v>(3)</v>
      </c>
      <c r="N74" s="638"/>
      <c r="O74" s="532" t="str">
        <f>P</f>
        <v>. . .</v>
      </c>
      <c r="P74" s="234" t="str">
        <f>"(3)"</f>
        <v>(3)</v>
      </c>
      <c r="Q74" s="186" t="str">
        <f>"(3)"</f>
        <v>(3)</v>
      </c>
      <c r="R74" s="186" t="str">
        <f>"(3)"</f>
        <v>(3)</v>
      </c>
      <c r="S74" s="129"/>
      <c r="W74" s="133" t="str">
        <f>t</f>
        <v>TVO</v>
      </c>
      <c r="X74" s="133">
        <v>5930</v>
      </c>
      <c r="Y74" s="32"/>
      <c r="Z74" s="32"/>
      <c r="AA74" s="32"/>
      <c r="AB74" s="204"/>
      <c r="AC74" s="232"/>
      <c r="AD74" s="233"/>
      <c r="AE74" s="206"/>
      <c r="AF74" s="206"/>
      <c r="AG74" s="206"/>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6"/>
      <c r="BD74" s="205"/>
      <c r="BE74" s="205"/>
      <c r="BF74" s="205"/>
      <c r="BG74" s="207"/>
    </row>
    <row r="75" spans="1:59" ht="12.75">
      <c r="A75" s="62"/>
      <c r="B75" s="74"/>
      <c r="C75" s="182"/>
      <c r="D75" s="669"/>
      <c r="E75" s="432"/>
      <c r="F75" s="140"/>
      <c r="G75" s="108"/>
      <c r="H75" s="109"/>
      <c r="I75" s="64"/>
      <c r="J75" s="64"/>
      <c r="K75" s="139"/>
      <c r="L75" s="139"/>
      <c r="M75" s="248"/>
      <c r="N75" s="638"/>
      <c r="O75" s="655"/>
      <c r="P75" s="148"/>
      <c r="Q75" s="186"/>
      <c r="R75" s="186"/>
      <c r="S75" s="69"/>
      <c r="T75" s="70"/>
      <c r="U75" s="71"/>
      <c r="V75" s="72"/>
      <c r="W75" s="133"/>
      <c r="X75" s="133"/>
      <c r="Y75" s="18"/>
      <c r="Z75" s="18"/>
      <c r="AA75" s="32"/>
      <c r="AB75" s="19"/>
      <c r="AC75" s="232"/>
      <c r="AD75" s="233"/>
      <c r="AE75" s="206"/>
      <c r="AF75" s="206"/>
      <c r="AG75" s="206"/>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6"/>
      <c r="BD75" s="205"/>
      <c r="BE75" s="205"/>
      <c r="BF75" s="205"/>
      <c r="BG75" s="207"/>
    </row>
    <row r="76" spans="1:59" ht="12.75">
      <c r="A76" s="62"/>
      <c r="B76" s="74"/>
      <c r="C76" s="176" t="s">
        <v>1048</v>
      </c>
      <c r="D76" s="669"/>
      <c r="E76" s="432"/>
      <c r="F76" s="140"/>
      <c r="G76" s="108"/>
      <c r="H76" s="109"/>
      <c r="I76" s="532"/>
      <c r="J76" s="64"/>
      <c r="K76" s="201"/>
      <c r="L76" s="139"/>
      <c r="M76" s="248"/>
      <c r="N76" s="638"/>
      <c r="O76" s="655"/>
      <c r="P76" s="148"/>
      <c r="Q76" s="186"/>
      <c r="R76" s="186"/>
      <c r="S76" s="69"/>
      <c r="T76" s="70"/>
      <c r="U76" s="71"/>
      <c r="V76" s="72"/>
      <c r="W76" s="73"/>
      <c r="X76" s="73"/>
      <c r="Y76" s="141"/>
      <c r="Z76" s="141"/>
      <c r="AA76" s="18"/>
      <c r="AB76" s="19"/>
      <c r="AC76" s="232"/>
      <c r="AD76" s="233"/>
      <c r="AE76" s="206"/>
      <c r="AF76" s="206"/>
      <c r="AG76" s="206"/>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22"/>
      <c r="BD76" s="135"/>
      <c r="BE76" s="135"/>
      <c r="BF76" s="135"/>
      <c r="BG76" s="31"/>
    </row>
    <row r="77" spans="1:59" ht="12.75">
      <c r="A77" s="62"/>
      <c r="B77" s="74"/>
      <c r="C77" s="176" t="s">
        <v>1049</v>
      </c>
      <c r="D77" s="669"/>
      <c r="E77" s="432"/>
      <c r="F77" s="140"/>
      <c r="G77" s="108"/>
      <c r="H77" s="109"/>
      <c r="I77" s="532"/>
      <c r="J77" s="64"/>
      <c r="K77" s="201"/>
      <c r="L77" s="139"/>
      <c r="M77" s="248"/>
      <c r="N77" s="638"/>
      <c r="O77" s="655"/>
      <c r="P77" s="148"/>
      <c r="Q77" s="186"/>
      <c r="R77" s="186"/>
      <c r="S77" s="69"/>
      <c r="T77" s="50"/>
      <c r="U77" s="51"/>
      <c r="V77" s="52"/>
      <c r="W77" s="53"/>
      <c r="X77" s="53"/>
      <c r="Y77" s="141">
        <v>4013</v>
      </c>
      <c r="Z77" s="141">
        <v>9943</v>
      </c>
      <c r="AA77" s="13">
        <v>9302</v>
      </c>
      <c r="AD77" s="233"/>
      <c r="AE77" s="206"/>
      <c r="AF77" s="206"/>
      <c r="AG77" s="206"/>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22"/>
      <c r="BD77" s="135"/>
      <c r="BE77" s="135"/>
      <c r="BF77" s="135"/>
      <c r="BG77" s="31"/>
    </row>
    <row r="78" spans="1:59" ht="12.75">
      <c r="A78" s="62"/>
      <c r="B78" s="74"/>
      <c r="C78" s="176" t="s">
        <v>1050</v>
      </c>
      <c r="D78" s="669"/>
      <c r="E78" s="432"/>
      <c r="F78" s="140"/>
      <c r="G78" s="108"/>
      <c r="H78" s="109"/>
      <c r="I78" s="532"/>
      <c r="J78" s="64"/>
      <c r="K78" s="201"/>
      <c r="L78" s="139"/>
      <c r="M78" s="248"/>
      <c r="N78" s="638"/>
      <c r="O78" s="655"/>
      <c r="P78" s="234"/>
      <c r="Q78" s="186"/>
      <c r="R78" s="186"/>
      <c r="S78" s="49"/>
      <c r="T78" s="149"/>
      <c r="U78" s="150"/>
      <c r="V78" s="151"/>
      <c r="W78" s="152"/>
      <c r="X78" s="152"/>
      <c r="Y78" s="141">
        <v>4013</v>
      </c>
      <c r="Z78" s="141">
        <v>9302</v>
      </c>
      <c r="AA78" s="141"/>
      <c r="AB78" s="19"/>
      <c r="AC78" s="20"/>
      <c r="AD78" s="21"/>
      <c r="AE78" s="22"/>
      <c r="AF78" s="22"/>
      <c r="AG78" s="22"/>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22"/>
      <c r="BD78" s="135"/>
      <c r="BE78" s="135"/>
      <c r="BF78" s="135"/>
      <c r="BG78" s="31"/>
    </row>
    <row r="79" spans="1:59" ht="12.75">
      <c r="A79" s="62">
        <v>28</v>
      </c>
      <c r="B79" s="74" t="s">
        <v>1051</v>
      </c>
      <c r="C79" s="176" t="s">
        <v>1052</v>
      </c>
      <c r="D79" s="669" t="s">
        <v>1053</v>
      </c>
      <c r="E79" s="432">
        <f>TEChuilelégère</f>
        <v>0.047</v>
      </c>
      <c r="F79" s="140"/>
      <c r="G79" s="108" t="s">
        <v>1054</v>
      </c>
      <c r="H79" s="109" t="s">
        <v>1055</v>
      </c>
      <c r="I79" s="532">
        <f>VFWS</f>
        <v>37.75</v>
      </c>
      <c r="J79" s="64" t="s">
        <v>1056</v>
      </c>
      <c r="K79" s="201">
        <f>ROUND(I79*TEChuilelégère,2)</f>
        <v>1.77</v>
      </c>
      <c r="L79" s="139"/>
      <c r="M79" s="248">
        <f>TIFD</f>
        <v>5.66</v>
      </c>
      <c r="N79" s="638"/>
      <c r="O79" s="532" t="str">
        <f aca="true" t="shared" si="3" ref="O79:P81">P</f>
        <v>. . .</v>
      </c>
      <c r="P79" s="234" t="str">
        <f t="shared" si="3"/>
        <v>. . .</v>
      </c>
      <c r="Q79" s="186">
        <f>TVAWSCOMBUMETRO</f>
        <v>8.855280000000002</v>
      </c>
      <c r="R79" s="186">
        <f>TVAWSCOMBUCORSE</f>
        <v>5.873400000000001</v>
      </c>
      <c r="S79" s="156"/>
      <c r="T79" s="149">
        <v>5711</v>
      </c>
      <c r="U79" s="150"/>
      <c r="W79" s="157">
        <v>5933</v>
      </c>
      <c r="X79" s="157"/>
      <c r="Y79" s="141">
        <v>4012</v>
      </c>
      <c r="Z79" s="141">
        <v>9348</v>
      </c>
      <c r="AA79" s="141">
        <v>9302</v>
      </c>
      <c r="AB79" s="19"/>
      <c r="AC79" s="20"/>
      <c r="AD79" s="21"/>
      <c r="AE79" s="22"/>
      <c r="AF79" s="22"/>
      <c r="AG79" s="22"/>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22"/>
      <c r="BD79" s="135"/>
      <c r="BE79" s="135"/>
      <c r="BF79" s="135"/>
      <c r="BG79" s="31"/>
    </row>
    <row r="80" spans="1:59" ht="12.75">
      <c r="A80" s="62">
        <v>29</v>
      </c>
      <c r="B80" s="74" t="s">
        <v>1057</v>
      </c>
      <c r="C80" s="176" t="s">
        <v>1058</v>
      </c>
      <c r="D80" s="669" t="s">
        <v>1059</v>
      </c>
      <c r="E80" s="432">
        <f>TEChuilelégère</f>
        <v>0.047</v>
      </c>
      <c r="F80" s="140"/>
      <c r="G80" s="108" t="s">
        <v>1060</v>
      </c>
      <c r="H80" s="109" t="s">
        <v>1061</v>
      </c>
      <c r="I80" s="532">
        <f>VFWS</f>
        <v>37.75</v>
      </c>
      <c r="J80" s="64" t="s">
        <v>1062</v>
      </c>
      <c r="K80" s="201">
        <f>ROUND(I80*TEChuilelégère,2)</f>
        <v>1.77</v>
      </c>
      <c r="L80" s="139"/>
      <c r="M80" s="248">
        <f>TIFD</f>
        <v>5.66</v>
      </c>
      <c r="N80" s="638"/>
      <c r="O80" s="532" t="str">
        <f t="shared" si="3"/>
        <v>. . .</v>
      </c>
      <c r="P80" s="234" t="str">
        <f t="shared" si="3"/>
        <v>. . .</v>
      </c>
      <c r="Q80" s="186">
        <f>SUM(I80:P80)*19.6%</f>
        <v>8.855280000000002</v>
      </c>
      <c r="R80" s="186">
        <f>SUM(I80:P80)*13%</f>
        <v>5.873400000000001</v>
      </c>
      <c r="S80" s="156"/>
      <c r="T80" s="149">
        <v>5711</v>
      </c>
      <c r="U80" s="150"/>
      <c r="W80" s="157">
        <v>5933</v>
      </c>
      <c r="X80" s="157"/>
      <c r="Y80" s="141"/>
      <c r="Z80" s="141"/>
      <c r="AA80" s="141"/>
      <c r="AB80" s="19"/>
      <c r="AC80" s="20"/>
      <c r="AD80" s="21"/>
      <c r="AE80" s="22"/>
      <c r="AF80" s="22"/>
      <c r="AG80" s="22"/>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22"/>
      <c r="BD80" s="135"/>
      <c r="BE80" s="135"/>
      <c r="BF80" s="135"/>
      <c r="BG80" s="31"/>
    </row>
    <row r="81" spans="1:59" ht="12.75">
      <c r="A81" s="62">
        <v>30</v>
      </c>
      <c r="B81" s="74" t="s">
        <v>1063</v>
      </c>
      <c r="C81" s="176" t="s">
        <v>1064</v>
      </c>
      <c r="D81" s="669" t="s">
        <v>1065</v>
      </c>
      <c r="E81" s="432">
        <f>TEChuilelégère</f>
        <v>0.047</v>
      </c>
      <c r="F81" s="140"/>
      <c r="G81" s="108" t="s">
        <v>1066</v>
      </c>
      <c r="H81" s="109" t="s">
        <v>1067</v>
      </c>
      <c r="I81" s="532">
        <f>VFWS</f>
        <v>37.75</v>
      </c>
      <c r="J81" s="64" t="s">
        <v>1068</v>
      </c>
      <c r="K81" s="201">
        <f>ROUND(I81*TEChuilelégère,2)</f>
        <v>1.77</v>
      </c>
      <c r="L81" s="139"/>
      <c r="M81" s="248" t="s">
        <v>1069</v>
      </c>
      <c r="N81" s="638"/>
      <c r="O81" s="532" t="str">
        <f t="shared" si="3"/>
        <v>. . .</v>
      </c>
      <c r="P81" s="234" t="str">
        <f t="shared" si="3"/>
        <v>. . .</v>
      </c>
      <c r="Q81" s="186">
        <f>SUM(I81:P81)*19.6%</f>
        <v>7.745920000000001</v>
      </c>
      <c r="R81" s="186">
        <f>SUM(I81:P81)*13%</f>
        <v>5.137600000000001</v>
      </c>
      <c r="S81" s="156"/>
      <c r="W81" s="157">
        <v>5906</v>
      </c>
      <c r="X81" s="157"/>
      <c r="Y81" s="141">
        <v>9306</v>
      </c>
      <c r="Z81" s="141">
        <v>9302</v>
      </c>
      <c r="AA81" s="141"/>
      <c r="AB81" s="19"/>
      <c r="AC81" s="20"/>
      <c r="AD81" s="21"/>
      <c r="AE81" s="22"/>
      <c r="AF81" s="22"/>
      <c r="AG81" s="22"/>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22"/>
      <c r="BD81" s="135"/>
      <c r="BE81" s="135"/>
      <c r="BF81" s="135"/>
      <c r="BG81" s="31"/>
    </row>
    <row r="82" spans="1:59" ht="12.75">
      <c r="A82" s="62"/>
      <c r="B82" s="74"/>
      <c r="C82" s="176" t="s">
        <v>1070</v>
      </c>
      <c r="D82" s="669"/>
      <c r="E82" s="432"/>
      <c r="F82" s="140"/>
      <c r="G82" s="108"/>
      <c r="H82" s="109"/>
      <c r="I82" s="64"/>
      <c r="J82" s="64"/>
      <c r="K82" s="139"/>
      <c r="L82" s="139"/>
      <c r="M82" s="248"/>
      <c r="N82" s="638"/>
      <c r="O82" s="655"/>
      <c r="P82" s="234"/>
      <c r="Q82" s="186"/>
      <c r="R82" s="186"/>
      <c r="S82" s="156"/>
      <c r="T82" s="149"/>
      <c r="U82" s="150"/>
      <c r="V82" s="151"/>
      <c r="W82" s="152"/>
      <c r="X82" s="152"/>
      <c r="Y82" s="18">
        <v>4012</v>
      </c>
      <c r="Z82" s="18">
        <v>9302</v>
      </c>
      <c r="AA82" s="141"/>
      <c r="AB82" s="19"/>
      <c r="AC82" s="20"/>
      <c r="AD82" s="21"/>
      <c r="AE82" s="22"/>
      <c r="AF82" s="22"/>
      <c r="AG82" s="22"/>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22"/>
      <c r="BD82" s="135"/>
      <c r="BE82" s="135"/>
      <c r="BF82" s="135"/>
      <c r="BG82" s="31"/>
    </row>
    <row r="83" spans="1:59" ht="12.75">
      <c r="A83" s="62">
        <v>31</v>
      </c>
      <c r="B83" s="74" t="s">
        <v>1071</v>
      </c>
      <c r="C83" s="176" t="s">
        <v>1072</v>
      </c>
      <c r="D83" s="81" t="s">
        <v>1073</v>
      </c>
      <c r="E83" s="432">
        <f>TEChuilelégère</f>
        <v>0.047</v>
      </c>
      <c r="F83" s="140"/>
      <c r="G83" s="108" t="s">
        <v>1074</v>
      </c>
      <c r="H83" s="109" t="s">
        <v>1075</v>
      </c>
      <c r="I83" s="532">
        <f>VFES</f>
        <v>39.5</v>
      </c>
      <c r="J83" s="64" t="s">
        <v>1076</v>
      </c>
      <c r="K83" s="201">
        <f>ROUND(I83*TEChuilelégère,2)</f>
        <v>1.86</v>
      </c>
      <c r="L83" s="139"/>
      <c r="M83" s="248">
        <f>TISP</f>
        <v>58.92</v>
      </c>
      <c r="N83" s="638"/>
      <c r="O83" s="532" t="str">
        <f>P</f>
        <v>. . .</v>
      </c>
      <c r="P83" s="234" t="str">
        <f>P</f>
        <v>. . .</v>
      </c>
      <c r="Q83" s="186">
        <f>SUM(I83:P83)*19.6%</f>
        <v>19.654880000000002</v>
      </c>
      <c r="R83" s="186">
        <f>SUM(I83:P83)*13%</f>
        <v>13.0364</v>
      </c>
      <c r="S83" s="156"/>
      <c r="T83" s="149">
        <v>5716</v>
      </c>
      <c r="U83" s="150"/>
      <c r="W83" s="157">
        <v>5965</v>
      </c>
      <c r="X83" s="157"/>
      <c r="Y83" s="141"/>
      <c r="Z83" s="141"/>
      <c r="AA83" s="18"/>
      <c r="AB83" s="19"/>
      <c r="AC83" s="20"/>
      <c r="AD83" s="21"/>
      <c r="AE83" s="22"/>
      <c r="AF83" s="22"/>
      <c r="AG83" s="22"/>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22"/>
      <c r="BD83" s="135"/>
      <c r="BE83" s="135"/>
      <c r="BF83" s="135"/>
      <c r="BG83" s="31"/>
    </row>
    <row r="84" spans="1:59" ht="12.75">
      <c r="A84" s="62">
        <v>32</v>
      </c>
      <c r="B84" s="74" t="s">
        <v>1077</v>
      </c>
      <c r="C84" s="176" t="s">
        <v>1078</v>
      </c>
      <c r="D84" s="81" t="s">
        <v>1079</v>
      </c>
      <c r="E84" s="432">
        <f>TEChuilelégère</f>
        <v>0.047</v>
      </c>
      <c r="F84" s="140"/>
      <c r="G84" s="108" t="s">
        <v>1080</v>
      </c>
      <c r="H84" s="109" t="s">
        <v>1081</v>
      </c>
      <c r="I84" s="532">
        <f>VFES</f>
        <v>39.5</v>
      </c>
      <c r="J84" s="64" t="s">
        <v>1082</v>
      </c>
      <c r="K84" s="201">
        <f>ROUND(I84*TEChuilelégère,2)</f>
        <v>1.86</v>
      </c>
      <c r="L84" s="139"/>
      <c r="M84" s="248" t="s">
        <v>1083</v>
      </c>
      <c r="N84" s="639"/>
      <c r="O84" s="532" t="str">
        <f>P</f>
        <v>. . .</v>
      </c>
      <c r="P84" s="234" t="str">
        <f>P</f>
        <v>. . .</v>
      </c>
      <c r="Q84" s="186">
        <f>SUM(I84:P84)*19.6%</f>
        <v>8.10656</v>
      </c>
      <c r="R84" s="186">
        <f>SUM(I84:P84)*13%</f>
        <v>5.3768</v>
      </c>
      <c r="S84" s="156"/>
      <c r="W84" s="185">
        <v>5908</v>
      </c>
      <c r="X84" s="185"/>
      <c r="Y84" s="141"/>
      <c r="Z84" s="141"/>
      <c r="AA84" s="141"/>
      <c r="AB84" s="19"/>
      <c r="AC84" s="20"/>
      <c r="AD84" s="21"/>
      <c r="AE84" s="22"/>
      <c r="AF84" s="22"/>
      <c r="AG84" s="22"/>
      <c r="AH84" s="135"/>
      <c r="AI84" s="22"/>
      <c r="AJ84" s="22"/>
      <c r="AK84" s="22"/>
      <c r="AL84" s="135"/>
      <c r="AM84" s="135"/>
      <c r="AN84" s="22"/>
      <c r="AO84" s="22"/>
      <c r="AP84" s="22"/>
      <c r="AQ84" s="22"/>
      <c r="AR84" s="22"/>
      <c r="AS84" s="22"/>
      <c r="AT84" s="22"/>
      <c r="AU84" s="22"/>
      <c r="AV84" s="22"/>
      <c r="AW84" s="22"/>
      <c r="AX84" s="22"/>
      <c r="AY84" s="22"/>
      <c r="AZ84" s="22"/>
      <c r="BA84" s="22"/>
      <c r="BB84" s="22"/>
      <c r="BC84" s="22"/>
      <c r="BD84" s="22"/>
      <c r="BE84" s="22"/>
      <c r="BF84" s="22"/>
      <c r="BG84" s="31"/>
    </row>
    <row r="85" spans="1:59" ht="12.75">
      <c r="A85" s="62"/>
      <c r="B85" s="31"/>
      <c r="C85" s="235"/>
      <c r="D85" s="669"/>
      <c r="E85" s="432"/>
      <c r="F85" s="140"/>
      <c r="G85" s="108"/>
      <c r="H85" s="109"/>
      <c r="I85" s="64"/>
      <c r="J85" s="64"/>
      <c r="K85" s="139"/>
      <c r="L85" s="139"/>
      <c r="M85" s="248"/>
      <c r="N85" s="638"/>
      <c r="O85" s="655"/>
      <c r="P85" s="148"/>
      <c r="Q85" s="186"/>
      <c r="R85" s="186"/>
      <c r="S85" s="49"/>
      <c r="T85" s="149"/>
      <c r="U85" s="150"/>
      <c r="V85" s="151"/>
      <c r="W85" s="152"/>
      <c r="X85" s="152"/>
      <c r="Y85" s="18"/>
      <c r="Z85" s="18"/>
      <c r="AA85" s="141"/>
      <c r="AB85" s="19"/>
      <c r="AC85" s="20"/>
      <c r="AD85" s="233"/>
      <c r="AE85" s="206"/>
      <c r="AF85" s="206"/>
      <c r="AG85" s="206"/>
      <c r="AH85" s="135"/>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31"/>
    </row>
    <row r="86" spans="1:59" s="7" customFormat="1" ht="12.75">
      <c r="A86" s="62"/>
      <c r="B86" s="74"/>
      <c r="C86" s="176" t="s">
        <v>1084</v>
      </c>
      <c r="D86" s="669"/>
      <c r="E86" s="432"/>
      <c r="F86" s="140"/>
      <c r="G86" s="108"/>
      <c r="H86" s="109"/>
      <c r="I86" s="64"/>
      <c r="J86" s="64"/>
      <c r="K86" s="139"/>
      <c r="L86" s="139"/>
      <c r="M86" s="248"/>
      <c r="N86" s="638"/>
      <c r="O86" s="655"/>
      <c r="P86" s="148"/>
      <c r="Q86" s="186"/>
      <c r="R86" s="186"/>
      <c r="S86" s="156"/>
      <c r="T86" s="149"/>
      <c r="U86" s="150"/>
      <c r="V86" s="151"/>
      <c r="W86" s="152"/>
      <c r="X86" s="152"/>
      <c r="Y86" s="18">
        <v>9306</v>
      </c>
      <c r="Z86" s="18">
        <v>9301</v>
      </c>
      <c r="AA86" s="18"/>
      <c r="AB86" s="19"/>
      <c r="AC86" s="20"/>
      <c r="AD86" s="21"/>
      <c r="AE86" s="22"/>
      <c r="AF86" s="22"/>
      <c r="AG86" s="22"/>
      <c r="AH86" s="135"/>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31"/>
    </row>
    <row r="87" spans="1:59" ht="12.75">
      <c r="A87" s="62"/>
      <c r="B87" s="74"/>
      <c r="C87" s="176" t="s">
        <v>1085</v>
      </c>
      <c r="D87" s="669"/>
      <c r="E87" s="432"/>
      <c r="F87" s="140"/>
      <c r="G87" s="108"/>
      <c r="H87" s="109"/>
      <c r="I87" s="532"/>
      <c r="J87" s="64"/>
      <c r="K87" s="201"/>
      <c r="L87" s="139"/>
      <c r="M87" s="248"/>
      <c r="N87" s="638"/>
      <c r="O87" s="655"/>
      <c r="P87" s="234"/>
      <c r="Q87" s="186"/>
      <c r="R87" s="186"/>
      <c r="S87" s="156"/>
      <c r="T87" s="50"/>
      <c r="U87" s="51"/>
      <c r="V87" s="52"/>
      <c r="W87" s="53"/>
      <c r="X87" s="53"/>
      <c r="Y87" s="141"/>
      <c r="Z87" s="141"/>
      <c r="AA87" s="18"/>
      <c r="AB87" s="19"/>
      <c r="AC87" s="20"/>
      <c r="AD87" s="21"/>
      <c r="AE87" s="22"/>
      <c r="AF87" s="22"/>
      <c r="AG87" s="22"/>
      <c r="AH87" s="135"/>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31"/>
    </row>
    <row r="88" spans="1:59" ht="12.75">
      <c r="A88" s="236">
        <v>33</v>
      </c>
      <c r="B88" s="74" t="s">
        <v>1086</v>
      </c>
      <c r="C88" s="176" t="s">
        <v>1087</v>
      </c>
      <c r="D88" s="81" t="s">
        <v>1088</v>
      </c>
      <c r="E88" s="432">
        <f>TEChuilelégère</f>
        <v>0.047</v>
      </c>
      <c r="F88" s="140"/>
      <c r="G88" s="183" t="s">
        <v>1089</v>
      </c>
      <c r="H88" s="63" t="s">
        <v>1090</v>
      </c>
      <c r="I88" s="532">
        <f>VFEA</f>
        <v>39.5</v>
      </c>
      <c r="J88" s="64" t="s">
        <v>1091</v>
      </c>
      <c r="K88" s="184">
        <f>ROUND(I88*TEChuilelégère,2)</f>
        <v>1.86</v>
      </c>
      <c r="L88" s="138"/>
      <c r="M88" s="248">
        <f>TIEA</f>
        <v>32.36</v>
      </c>
      <c r="N88" s="638"/>
      <c r="O88" s="655" t="str">
        <f>P</f>
        <v>. . .</v>
      </c>
      <c r="P88" s="234" t="str">
        <f>"(18)"</f>
        <v>(18)</v>
      </c>
      <c r="Q88" s="186">
        <f>SUM(I88:P88)*19.6%</f>
        <v>14.44912</v>
      </c>
      <c r="R88" s="186">
        <f>SUM(I88:P88)*13%</f>
        <v>9.5836</v>
      </c>
      <c r="S88" s="49"/>
      <c r="T88" s="50">
        <v>5708</v>
      </c>
      <c r="U88" s="51"/>
      <c r="V88" s="11">
        <v>5727</v>
      </c>
      <c r="W88" s="185">
        <v>5909</v>
      </c>
      <c r="X88" s="237"/>
      <c r="Y88" s="141"/>
      <c r="Z88" s="141"/>
      <c r="AA88" s="141"/>
      <c r="AB88" s="19"/>
      <c r="AC88" s="20"/>
      <c r="AD88" s="63"/>
      <c r="AE88" s="74"/>
      <c r="AF88" s="74"/>
      <c r="AG88" s="74"/>
      <c r="AH88" s="135"/>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31"/>
    </row>
    <row r="89" spans="1:59" ht="12.75">
      <c r="A89" s="62"/>
      <c r="B89" s="74"/>
      <c r="C89" s="176" t="s">
        <v>1092</v>
      </c>
      <c r="D89" s="669"/>
      <c r="E89" s="432"/>
      <c r="F89" s="140"/>
      <c r="G89" s="108"/>
      <c r="H89" s="109"/>
      <c r="I89" s="532"/>
      <c r="J89" s="64"/>
      <c r="K89" s="201"/>
      <c r="L89" s="139"/>
      <c r="M89" s="248"/>
      <c r="N89" s="638"/>
      <c r="O89" s="655"/>
      <c r="P89" s="234"/>
      <c r="Q89" s="186"/>
      <c r="R89" s="186"/>
      <c r="S89" s="49"/>
      <c r="T89" s="149"/>
      <c r="U89" s="150"/>
      <c r="V89" s="151"/>
      <c r="W89" s="152"/>
      <c r="X89" s="152"/>
      <c r="Y89" s="141"/>
      <c r="Z89" s="141"/>
      <c r="AA89" s="141"/>
      <c r="AB89" s="19"/>
      <c r="AC89" s="20"/>
      <c r="AD89" s="63"/>
      <c r="AE89" s="74"/>
      <c r="AF89" s="74"/>
      <c r="AG89" s="74"/>
      <c r="AH89" s="206"/>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31"/>
    </row>
    <row r="90" spans="1:59" ht="12.75">
      <c r="A90" s="62"/>
      <c r="B90" s="74"/>
      <c r="C90" s="176" t="s">
        <v>1093</v>
      </c>
      <c r="D90" s="675"/>
      <c r="E90" s="695"/>
      <c r="F90" s="240"/>
      <c r="G90" s="238"/>
      <c r="H90" s="238"/>
      <c r="I90" s="235"/>
      <c r="J90" s="235"/>
      <c r="K90" s="239"/>
      <c r="L90" s="239"/>
      <c r="M90" s="248"/>
      <c r="N90" s="31"/>
      <c r="O90" s="526"/>
      <c r="P90" s="240"/>
      <c r="Q90" s="186"/>
      <c r="R90" s="186"/>
      <c r="S90" s="156"/>
      <c r="T90" s="149"/>
      <c r="U90" s="150"/>
      <c r="V90" s="151"/>
      <c r="W90" s="152"/>
      <c r="X90" s="152"/>
      <c r="Y90" s="241">
        <v>5928</v>
      </c>
      <c r="Z90" s="141">
        <v>9301</v>
      </c>
      <c r="AA90" s="141"/>
      <c r="AB90" s="19"/>
      <c r="AC90" s="20"/>
      <c r="AD90" s="63"/>
      <c r="AE90" s="74"/>
      <c r="AF90" s="74"/>
      <c r="AG90" s="74"/>
      <c r="AH90" s="206"/>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31"/>
    </row>
    <row r="91" spans="1:59" ht="12.75">
      <c r="A91" s="62"/>
      <c r="B91" s="74"/>
      <c r="C91" s="176" t="s">
        <v>1094</v>
      </c>
      <c r="D91" s="669"/>
      <c r="E91" s="432"/>
      <c r="F91" s="140"/>
      <c r="G91" s="108"/>
      <c r="H91" s="109"/>
      <c r="I91" s="532"/>
      <c r="J91" s="64"/>
      <c r="K91" s="201"/>
      <c r="L91" s="139"/>
      <c r="M91" s="248"/>
      <c r="N91" s="638"/>
      <c r="O91" s="655"/>
      <c r="P91" s="234"/>
      <c r="Q91" s="186"/>
      <c r="R91" s="186"/>
      <c r="S91" s="156"/>
      <c r="U91" s="150"/>
      <c r="V91" s="151"/>
      <c r="W91" s="152"/>
      <c r="X91" s="152"/>
      <c r="Y91" s="141">
        <v>4004</v>
      </c>
      <c r="Z91" s="141">
        <v>4006</v>
      </c>
      <c r="AA91" s="141">
        <v>9301</v>
      </c>
      <c r="AB91" s="19"/>
      <c r="AC91" s="20"/>
      <c r="AD91" s="63"/>
      <c r="AE91" s="74"/>
      <c r="AF91" s="74"/>
      <c r="AG91" s="74"/>
      <c r="AH91" s="206"/>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31"/>
    </row>
    <row r="92" spans="1:92" s="245" customFormat="1" ht="12.75">
      <c r="A92" s="62">
        <v>34</v>
      </c>
      <c r="B92" s="74" t="s">
        <v>1095</v>
      </c>
      <c r="C92" s="176" t="s">
        <v>1096</v>
      </c>
      <c r="D92" s="669" t="s">
        <v>1097</v>
      </c>
      <c r="E92" s="432">
        <f>TEChuilelégère</f>
        <v>0.047</v>
      </c>
      <c r="F92" s="140"/>
      <c r="G92" s="108" t="s">
        <v>1098</v>
      </c>
      <c r="H92" s="109" t="s">
        <v>1099</v>
      </c>
      <c r="I92" s="532">
        <f>vfspb</f>
        <v>39.5</v>
      </c>
      <c r="J92" s="64" t="s">
        <v>1100</v>
      </c>
      <c r="K92" s="201">
        <f>ROUND(I92*TEChuilelégère,2)</f>
        <v>1.86</v>
      </c>
      <c r="L92" s="139"/>
      <c r="M92" s="248">
        <f>TISP</f>
        <v>58.92</v>
      </c>
      <c r="N92" s="638" t="s">
        <v>1101</v>
      </c>
      <c r="O92" s="655" t="str">
        <f>P</f>
        <v>. . .</v>
      </c>
      <c r="P92" s="234" t="str">
        <f>"(18)"</f>
        <v>(18)</v>
      </c>
      <c r="Q92" s="186">
        <f>TVASPMETRO</f>
        <v>19.654880000000002</v>
      </c>
      <c r="R92" s="186">
        <f>TVASPCORSE</f>
        <v>12.906400000000001</v>
      </c>
      <c r="S92" s="156"/>
      <c r="T92" s="149">
        <v>5720</v>
      </c>
      <c r="U92" s="150">
        <v>5716</v>
      </c>
      <c r="V92" s="151">
        <v>5727</v>
      </c>
      <c r="W92" s="12">
        <v>5928</v>
      </c>
      <c r="X92" s="12"/>
      <c r="Y92" s="242"/>
      <c r="Z92" s="242"/>
      <c r="AA92" s="243"/>
      <c r="AB92" s="244"/>
      <c r="AC92" s="20"/>
      <c r="AD92" s="63"/>
      <c r="AE92" s="74"/>
      <c r="AF92" s="74"/>
      <c r="AG92" s="74"/>
      <c r="AH92" s="206"/>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row>
    <row r="93" spans="1:60" ht="13.5" thickBot="1">
      <c r="A93" s="62">
        <v>35</v>
      </c>
      <c r="B93" s="246" t="s">
        <v>1102</v>
      </c>
      <c r="C93" s="176" t="s">
        <v>1103</v>
      </c>
      <c r="D93" s="81" t="s">
        <v>1104</v>
      </c>
      <c r="E93" s="432">
        <f>TEChuilelégère</f>
        <v>0.047</v>
      </c>
      <c r="F93" s="140"/>
      <c r="G93" s="108" t="s">
        <v>1105</v>
      </c>
      <c r="H93" s="109" t="s">
        <v>1106</v>
      </c>
      <c r="I93" s="532" t="str">
        <f>R</f>
        <v>Réelle</v>
      </c>
      <c r="J93" s="64" t="s">
        <v>1107</v>
      </c>
      <c r="K93" s="247">
        <f>TEChuilelégère</f>
        <v>0.047</v>
      </c>
      <c r="L93" s="139"/>
      <c r="M93" s="194" t="str">
        <f>"(9)"</f>
        <v>(9)</v>
      </c>
      <c r="N93" s="484"/>
      <c r="O93" s="656" t="str">
        <f>P</f>
        <v>. . .</v>
      </c>
      <c r="P93" s="644" t="str">
        <f>P</f>
        <v>. . .</v>
      </c>
      <c r="Q93" s="343" t="str">
        <f>VI</f>
        <v>(25)</v>
      </c>
      <c r="R93" s="343" t="str">
        <f>VI</f>
        <v>(25)</v>
      </c>
      <c r="S93" s="156"/>
      <c r="T93" s="149">
        <v>5717</v>
      </c>
      <c r="U93" s="150"/>
      <c r="W93" s="152" t="str">
        <f>t</f>
        <v>TVO</v>
      </c>
      <c r="X93" s="152"/>
      <c r="AA93" s="18"/>
      <c r="AB93" s="250"/>
      <c r="AC93" s="19"/>
      <c r="AD93" s="20"/>
      <c r="AE93" s="63"/>
      <c r="AF93" s="74"/>
      <c r="AG93" s="74"/>
      <c r="AH93" s="74"/>
      <c r="AI93" s="206"/>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31"/>
    </row>
    <row r="94" spans="1:92" s="279" customFormat="1" ht="36" customHeight="1">
      <c r="A94" s="251"/>
      <c r="B94" s="252"/>
      <c r="C94" s="253" t="s">
        <v>1108</v>
      </c>
      <c r="D94" s="254">
        <f>TISP-1</f>
        <v>57.92</v>
      </c>
      <c r="E94" s="255" t="s">
        <v>1109</v>
      </c>
      <c r="F94" s="696"/>
      <c r="G94" s="257"/>
      <c r="H94" s="257"/>
      <c r="I94" s="710"/>
      <c r="J94" s="710"/>
      <c r="K94" s="259" t="s">
        <v>1110</v>
      </c>
      <c r="L94" s="260"/>
      <c r="M94" s="248"/>
      <c r="N94" s="346"/>
      <c r="O94" s="658"/>
      <c r="P94" s="347"/>
      <c r="Q94" s="184">
        <f>TIARS-1</f>
        <v>62.96</v>
      </c>
      <c r="R94" s="184" t="s">
        <v>1111</v>
      </c>
      <c r="S94" s="263"/>
      <c r="T94" s="264"/>
      <c r="U94" s="265"/>
      <c r="V94" s="266"/>
      <c r="W94" s="267"/>
      <c r="X94" s="267"/>
      <c r="Y94" s="268">
        <v>9301</v>
      </c>
      <c r="Z94" s="269"/>
      <c r="AA94" s="270"/>
      <c r="AB94" s="271"/>
      <c r="AC94" s="272"/>
      <c r="AD94" s="273"/>
      <c r="AE94" s="274"/>
      <c r="AF94" s="274"/>
      <c r="AG94" s="274"/>
      <c r="AH94" s="275"/>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7"/>
      <c r="BH94" s="278"/>
      <c r="BI94" s="278"/>
      <c r="BJ94" s="278"/>
      <c r="BK94" s="278"/>
      <c r="BL94" s="278"/>
      <c r="BM94" s="278"/>
      <c r="BN94" s="278"/>
      <c r="BO94" s="278"/>
      <c r="BP94" s="278"/>
      <c r="BQ94" s="278"/>
      <c r="BR94" s="278"/>
      <c r="BS94" s="278"/>
      <c r="BT94" s="278"/>
      <c r="BU94" s="278"/>
      <c r="BV94" s="278"/>
      <c r="BW94" s="278"/>
      <c r="BX94" s="278"/>
      <c r="BY94" s="278"/>
      <c r="BZ94" s="278"/>
      <c r="CA94" s="278"/>
      <c r="CB94" s="278"/>
      <c r="CC94" s="278"/>
      <c r="CD94" s="278"/>
      <c r="CE94" s="278"/>
      <c r="CF94" s="278"/>
      <c r="CG94" s="278"/>
      <c r="CH94" s="278"/>
      <c r="CI94" s="278"/>
      <c r="CJ94" s="278"/>
      <c r="CK94" s="278"/>
      <c r="CL94" s="278"/>
      <c r="CM94" s="278"/>
      <c r="CN94" s="278"/>
    </row>
    <row r="95" spans="1:59" ht="42" customHeight="1">
      <c r="A95" s="197"/>
      <c r="B95" s="280"/>
      <c r="C95" s="281" t="s">
        <v>1112</v>
      </c>
      <c r="D95" s="677"/>
      <c r="E95" s="695"/>
      <c r="F95" s="240"/>
      <c r="G95" s="282"/>
      <c r="H95" s="283"/>
      <c r="I95" s="711"/>
      <c r="J95" s="711"/>
      <c r="K95" s="284"/>
      <c r="L95" s="284"/>
      <c r="M95" s="248"/>
      <c r="N95" s="285"/>
      <c r="O95" s="659"/>
      <c r="P95" s="240"/>
      <c r="Q95" s="186"/>
      <c r="R95" s="747"/>
      <c r="S95" s="286"/>
      <c r="U95" s="150"/>
      <c r="Y95" s="287">
        <v>9109</v>
      </c>
      <c r="Z95" s="287">
        <v>9301</v>
      </c>
      <c r="AA95" s="288">
        <v>5720</v>
      </c>
      <c r="AB95" s="19"/>
      <c r="AD95" s="63"/>
      <c r="AE95" s="74"/>
      <c r="AF95" s="74"/>
      <c r="AG95" s="74"/>
      <c r="AH95" s="206"/>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31"/>
    </row>
    <row r="96" spans="1:59" ht="27">
      <c r="A96" s="289">
        <v>36</v>
      </c>
      <c r="B96" s="290" t="s">
        <v>1113</v>
      </c>
      <c r="C96" s="302" t="s">
        <v>11</v>
      </c>
      <c r="D96" s="676" t="s">
        <v>1097</v>
      </c>
      <c r="E96" s="697">
        <f>TEChuilelégère</f>
        <v>0.047</v>
      </c>
      <c r="F96" s="698"/>
      <c r="G96" s="291" t="s">
        <v>1114</v>
      </c>
      <c r="H96" s="292" t="s">
        <v>1115</v>
      </c>
      <c r="I96" s="660">
        <f>VFARS</f>
        <v>39.5</v>
      </c>
      <c r="J96" s="719" t="s">
        <v>1116</v>
      </c>
      <c r="K96" s="293">
        <f>ROUND(I96*TEChuilelégère,2)</f>
        <v>1.86</v>
      </c>
      <c r="L96" s="294"/>
      <c r="M96" s="732">
        <f>TIARS</f>
        <v>63.96</v>
      </c>
      <c r="N96" s="295" t="s">
        <v>1117</v>
      </c>
      <c r="O96" s="660" t="str">
        <f>P</f>
        <v>. . .</v>
      </c>
      <c r="P96" s="649" t="str">
        <f>"(18)"</f>
        <v>(18)</v>
      </c>
      <c r="Q96" s="746">
        <f>SUM(I96:P96)*19.6%</f>
        <v>20.64272</v>
      </c>
      <c r="R96" s="748">
        <f>(SUM(I96:P96)-1)*13%</f>
        <v>13.5616</v>
      </c>
      <c r="S96" s="296"/>
      <c r="T96" s="297">
        <v>5706</v>
      </c>
      <c r="U96" s="298">
        <v>5720</v>
      </c>
      <c r="V96" s="299">
        <v>5727</v>
      </c>
      <c r="W96" s="300">
        <v>5923</v>
      </c>
      <c r="X96" s="300"/>
      <c r="Y96" s="13">
        <v>9301</v>
      </c>
      <c r="Z96" s="13">
        <v>5720</v>
      </c>
      <c r="AB96" s="55"/>
      <c r="AC96" s="134"/>
      <c r="AD96" s="112"/>
      <c r="AE96" s="31"/>
      <c r="AF96" s="31"/>
      <c r="AG96" s="31"/>
      <c r="AH96" s="31"/>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31"/>
    </row>
    <row r="97" spans="1:59" ht="36">
      <c r="A97" s="289">
        <v>37</v>
      </c>
      <c r="B97" s="301" t="s">
        <v>1118</v>
      </c>
      <c r="C97" s="302" t="s">
        <v>1119</v>
      </c>
      <c r="D97" s="676" t="s">
        <v>1120</v>
      </c>
      <c r="E97" s="697">
        <f>TEChuilelégère</f>
        <v>0.047</v>
      </c>
      <c r="F97" s="698"/>
      <c r="G97" s="291" t="s">
        <v>1121</v>
      </c>
      <c r="H97" s="292" t="s">
        <v>1122</v>
      </c>
      <c r="I97" s="660">
        <f>VFARS</f>
        <v>39.5</v>
      </c>
      <c r="J97" s="719" t="s">
        <v>1123</v>
      </c>
      <c r="K97" s="293">
        <f>ROUND(I97*TEChuilelégère,2)</f>
        <v>1.86</v>
      </c>
      <c r="L97" s="294"/>
      <c r="M97" s="732">
        <f>TIARS</f>
        <v>63.96</v>
      </c>
      <c r="N97" s="295" t="s">
        <v>1124</v>
      </c>
      <c r="O97" s="660" t="str">
        <f>P</f>
        <v>. . .</v>
      </c>
      <c r="P97" s="649" t="str">
        <f>"(18)"</f>
        <v>(18)</v>
      </c>
      <c r="Q97" s="746">
        <f>TVAARSMETRO</f>
        <v>20.64272</v>
      </c>
      <c r="R97" s="748">
        <f>TVAARSCORSE</f>
        <v>13.5616</v>
      </c>
      <c r="S97" s="156"/>
      <c r="T97" s="297">
        <v>5706</v>
      </c>
      <c r="U97" s="298"/>
      <c r="V97" s="303">
        <v>5727</v>
      </c>
      <c r="W97" s="304">
        <v>5923</v>
      </c>
      <c r="X97" s="304"/>
      <c r="Y97" s="13">
        <v>4004</v>
      </c>
      <c r="Z97" s="13">
        <v>4006</v>
      </c>
      <c r="AA97" s="13">
        <v>9301</v>
      </c>
      <c r="AB97" s="196"/>
      <c r="AC97" s="134"/>
      <c r="AD97" s="112"/>
      <c r="AE97" s="31"/>
      <c r="AF97" s="31"/>
      <c r="AG97" s="31"/>
      <c r="AH97" s="31"/>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31"/>
    </row>
    <row r="98" spans="1:59" ht="12.75">
      <c r="A98" s="305">
        <v>38</v>
      </c>
      <c r="B98" s="306" t="s">
        <v>1125</v>
      </c>
      <c r="C98" s="179" t="s">
        <v>1126</v>
      </c>
      <c r="D98" s="69" t="s">
        <v>1127</v>
      </c>
      <c r="E98" s="432">
        <f>TEChuilelégère</f>
        <v>0.047</v>
      </c>
      <c r="F98" s="140"/>
      <c r="G98" s="183" t="s">
        <v>1128</v>
      </c>
      <c r="H98" s="63" t="s">
        <v>1129</v>
      </c>
      <c r="I98" s="532">
        <f>vfspb</f>
        <v>39.5</v>
      </c>
      <c r="J98" s="64" t="s">
        <v>1130</v>
      </c>
      <c r="K98" s="184">
        <f>ROUND(I98*TEChuilelégère,2)</f>
        <v>1.86</v>
      </c>
      <c r="L98" s="138"/>
      <c r="M98" s="248">
        <f>TISP</f>
        <v>58.92</v>
      </c>
      <c r="N98" s="249" t="s">
        <v>1131</v>
      </c>
      <c r="O98" s="655" t="str">
        <f>P</f>
        <v>. . .</v>
      </c>
      <c r="P98" s="234" t="str">
        <f>"(18)"</f>
        <v>(18)</v>
      </c>
      <c r="Q98" s="745">
        <f>SUM(I98:P98)*19.6%</f>
        <v>19.654880000000002</v>
      </c>
      <c r="R98" s="747">
        <f>(SUM(I98:P98)-1)*13%</f>
        <v>12.906400000000001</v>
      </c>
      <c r="S98" s="156"/>
      <c r="T98" s="307">
        <v>5735</v>
      </c>
      <c r="U98" s="308"/>
      <c r="V98" s="11">
        <v>5727</v>
      </c>
      <c r="W98" s="309">
        <v>5928</v>
      </c>
      <c r="X98" s="309"/>
      <c r="AB98" s="196"/>
      <c r="AC98" s="134"/>
      <c r="AD98" s="112"/>
      <c r="AE98" s="31"/>
      <c r="AF98" s="31"/>
      <c r="AG98" s="31"/>
      <c r="AH98" s="31"/>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31"/>
    </row>
    <row r="99" spans="1:59" ht="21" customHeight="1">
      <c r="A99" s="305">
        <v>39</v>
      </c>
      <c r="B99" s="306" t="s">
        <v>1132</v>
      </c>
      <c r="C99" s="179" t="s">
        <v>1133</v>
      </c>
      <c r="D99" s="69" t="s">
        <v>1134</v>
      </c>
      <c r="E99" s="432">
        <f>TEChuilelégère</f>
        <v>0.047</v>
      </c>
      <c r="F99" s="140"/>
      <c r="G99" s="108" t="s">
        <v>1135</v>
      </c>
      <c r="H99" s="109" t="s">
        <v>1136</v>
      </c>
      <c r="I99" s="532" t="str">
        <f>R</f>
        <v>Réelle</v>
      </c>
      <c r="J99" s="64" t="s">
        <v>1137</v>
      </c>
      <c r="K99" s="247">
        <f>TEChuilelégère</f>
        <v>0.047</v>
      </c>
      <c r="L99" s="139"/>
      <c r="M99" s="248" t="str">
        <f>"(9)"</f>
        <v>(9)</v>
      </c>
      <c r="N99" s="148"/>
      <c r="O99" s="655" t="str">
        <f>P</f>
        <v>. . .</v>
      </c>
      <c r="P99" s="234" t="str">
        <f>P</f>
        <v>. . .</v>
      </c>
      <c r="Q99" s="745" t="str">
        <f>VI</f>
        <v>(25)</v>
      </c>
      <c r="R99" s="747" t="str">
        <f>VI</f>
        <v>(25)</v>
      </c>
      <c r="S99" s="310"/>
      <c r="T99" s="311">
        <v>5717</v>
      </c>
      <c r="U99" s="312"/>
      <c r="W99" s="12" t="str">
        <f>t</f>
        <v>TVO</v>
      </c>
      <c r="Y99" s="141">
        <v>5727</v>
      </c>
      <c r="Z99" s="13">
        <v>9301</v>
      </c>
      <c r="AA99" s="13">
        <v>5720</v>
      </c>
      <c r="AB99" s="196"/>
      <c r="AC99" s="20"/>
      <c r="AD99" s="112"/>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row>
    <row r="100" spans="1:59" ht="12.75">
      <c r="A100" s="313"/>
      <c r="B100" s="179"/>
      <c r="C100" s="176" t="s">
        <v>1138</v>
      </c>
      <c r="D100" s="677"/>
      <c r="E100" s="695"/>
      <c r="F100" s="240"/>
      <c r="G100" s="238"/>
      <c r="H100" s="238"/>
      <c r="I100" s="235"/>
      <c r="J100" s="235"/>
      <c r="K100" s="239"/>
      <c r="L100" s="239"/>
      <c r="M100" s="248"/>
      <c r="N100" s="31"/>
      <c r="O100" s="526"/>
      <c r="P100" s="240"/>
      <c r="Q100" s="745"/>
      <c r="R100" s="747"/>
      <c r="S100" s="310"/>
      <c r="T100" s="311"/>
      <c r="U100" s="312"/>
      <c r="Y100" s="141"/>
      <c r="AA100" s="141"/>
      <c r="AB100" s="19"/>
      <c r="AC100" s="20"/>
      <c r="AD100" s="112"/>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row>
    <row r="101" spans="1:59" ht="36" customHeight="1">
      <c r="A101" s="289">
        <v>40</v>
      </c>
      <c r="B101" s="301" t="s">
        <v>1139</v>
      </c>
      <c r="C101" s="738" t="s">
        <v>1140</v>
      </c>
      <c r="D101" s="678" t="s">
        <v>1141</v>
      </c>
      <c r="E101" s="697">
        <f>TEChuilelégère</f>
        <v>0.047</v>
      </c>
      <c r="F101" s="694"/>
      <c r="G101" s="213" t="s">
        <v>1142</v>
      </c>
      <c r="H101" s="214" t="s">
        <v>1143</v>
      </c>
      <c r="I101" s="732">
        <f>VFARS</f>
        <v>39.5</v>
      </c>
      <c r="J101" s="732" t="s">
        <v>1144</v>
      </c>
      <c r="K101" s="314">
        <f>ROUND(I101*TEChuilelégère,2)</f>
        <v>1.86</v>
      </c>
      <c r="L101" s="215"/>
      <c r="M101" s="732">
        <f>TIARS</f>
        <v>63.96</v>
      </c>
      <c r="N101" s="649" t="s">
        <v>1145</v>
      </c>
      <c r="O101" s="732" t="str">
        <f>P</f>
        <v>. . .</v>
      </c>
      <c r="P101" s="732" t="str">
        <f>"(18)"</f>
        <v>(18)</v>
      </c>
      <c r="Q101" s="746">
        <f>TVAARSMETRO</f>
        <v>20.64272</v>
      </c>
      <c r="R101" s="748">
        <f>TVAARSCORSE</f>
        <v>13.5616</v>
      </c>
      <c r="S101" s="296"/>
      <c r="T101" s="149">
        <v>5737</v>
      </c>
      <c r="U101" s="150"/>
      <c r="V101" s="151">
        <v>5727</v>
      </c>
      <c r="W101" s="157">
        <v>5923</v>
      </c>
      <c r="X101" s="157"/>
      <c r="Y101" s="315">
        <v>5720</v>
      </c>
      <c r="Z101" s="315">
        <v>9109</v>
      </c>
      <c r="AA101" s="315">
        <v>9301</v>
      </c>
      <c r="AD101" s="112"/>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row>
    <row r="102" spans="1:59" ht="12.75">
      <c r="A102" s="211"/>
      <c r="B102" s="212"/>
      <c r="C102" s="738"/>
      <c r="D102" s="678"/>
      <c r="E102" s="693"/>
      <c r="F102" s="694"/>
      <c r="G102" s="213"/>
      <c r="H102" s="214"/>
      <c r="I102" s="658"/>
      <c r="J102" s="709"/>
      <c r="K102" s="314"/>
      <c r="L102" s="215"/>
      <c r="M102" s="248"/>
      <c r="N102" s="346"/>
      <c r="O102" s="655"/>
      <c r="P102" s="650"/>
      <c r="Q102" s="745"/>
      <c r="R102" s="747"/>
      <c r="S102" s="296"/>
      <c r="T102" s="149"/>
      <c r="U102" s="150"/>
      <c r="V102" s="151"/>
      <c r="W102" s="157"/>
      <c r="X102" s="157"/>
      <c r="Y102" s="316"/>
      <c r="Z102" s="315"/>
      <c r="AA102" s="315"/>
      <c r="AB102" s="19"/>
      <c r="AC102" s="20"/>
      <c r="AD102" s="112"/>
      <c r="AE102" s="31"/>
      <c r="AF102" s="31"/>
      <c r="AG102" s="31"/>
      <c r="AH102" s="31"/>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31"/>
    </row>
    <row r="103" spans="1:59" ht="36">
      <c r="A103" s="289">
        <v>41</v>
      </c>
      <c r="B103" s="290" t="s">
        <v>1146</v>
      </c>
      <c r="C103" s="302" t="s">
        <v>1147</v>
      </c>
      <c r="D103" s="676" t="s">
        <v>1148</v>
      </c>
      <c r="E103" s="697">
        <f>TEChuilelégère</f>
        <v>0.047</v>
      </c>
      <c r="F103" s="698"/>
      <c r="G103" s="291" t="s">
        <v>1149</v>
      </c>
      <c r="H103" s="292" t="s">
        <v>1150</v>
      </c>
      <c r="I103" s="732">
        <f>VFARS</f>
        <v>39.5</v>
      </c>
      <c r="J103" s="719" t="s">
        <v>1151</v>
      </c>
      <c r="K103" s="293">
        <f>ROUND(I103*TEChuilelégère,2)</f>
        <v>1.86</v>
      </c>
      <c r="L103" s="294"/>
      <c r="M103" s="732">
        <f>TIARS</f>
        <v>63.96</v>
      </c>
      <c r="N103" s="561" t="s">
        <v>1152</v>
      </c>
      <c r="O103" s="732" t="str">
        <f>P</f>
        <v>. . .</v>
      </c>
      <c r="P103" s="732" t="str">
        <f>"(18)"</f>
        <v>(18)</v>
      </c>
      <c r="Q103" s="746">
        <f>TVAARSMETRO</f>
        <v>20.64272</v>
      </c>
      <c r="R103" s="748">
        <f>TVAARSCORSE</f>
        <v>13.5616</v>
      </c>
      <c r="S103" s="296"/>
      <c r="T103" s="317">
        <v>5737</v>
      </c>
      <c r="U103" s="318"/>
      <c r="V103" s="319">
        <v>5727</v>
      </c>
      <c r="W103" s="320">
        <v>5923</v>
      </c>
      <c r="X103" s="320"/>
      <c r="Y103" s="315">
        <v>9301</v>
      </c>
      <c r="Z103" s="321">
        <v>5720</v>
      </c>
      <c r="AA103" s="315"/>
      <c r="AB103" s="19"/>
      <c r="AC103" s="20"/>
      <c r="AD103" s="112"/>
      <c r="AE103" s="31"/>
      <c r="AF103" s="31"/>
      <c r="AG103" s="31"/>
      <c r="AH103" s="31"/>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31"/>
    </row>
    <row r="104" spans="1:59" ht="12.75">
      <c r="A104" s="211"/>
      <c r="B104" s="212"/>
      <c r="C104" s="181"/>
      <c r="D104" s="678"/>
      <c r="E104" s="693"/>
      <c r="F104" s="694"/>
      <c r="G104" s="213"/>
      <c r="H104" s="214"/>
      <c r="I104" s="658"/>
      <c r="J104" s="709"/>
      <c r="K104" s="314"/>
      <c r="L104" s="215"/>
      <c r="M104" s="248"/>
      <c r="N104" s="346"/>
      <c r="O104" s="658"/>
      <c r="P104" s="650"/>
      <c r="Q104" s="186"/>
      <c r="R104" s="747"/>
      <c r="S104" s="156"/>
      <c r="T104" s="317"/>
      <c r="U104" s="318"/>
      <c r="V104" s="319"/>
      <c r="W104" s="322"/>
      <c r="X104" s="322"/>
      <c r="Y104" s="315">
        <v>4004</v>
      </c>
      <c r="Z104" s="315">
        <v>9301</v>
      </c>
      <c r="AA104" s="315">
        <v>4006</v>
      </c>
      <c r="AB104" s="204"/>
      <c r="AC104" s="20"/>
      <c r="AD104" s="112"/>
      <c r="AE104" s="31"/>
      <c r="AF104" s="31"/>
      <c r="AG104" s="31"/>
      <c r="AH104" s="31"/>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31"/>
    </row>
    <row r="105" spans="1:59" ht="12.75">
      <c r="A105" s="62">
        <v>42</v>
      </c>
      <c r="B105" s="74" t="s">
        <v>1153</v>
      </c>
      <c r="C105" s="179" t="s">
        <v>1154</v>
      </c>
      <c r="D105" s="69" t="s">
        <v>1155</v>
      </c>
      <c r="E105" s="432">
        <f>TEChuilelégère</f>
        <v>0.047</v>
      </c>
      <c r="F105" s="140"/>
      <c r="G105" s="108" t="s">
        <v>1156</v>
      </c>
      <c r="H105" s="109" t="s">
        <v>1157</v>
      </c>
      <c r="I105" s="532">
        <f>VFARS</f>
        <v>39.5</v>
      </c>
      <c r="J105" s="64" t="s">
        <v>1158</v>
      </c>
      <c r="K105" s="201">
        <f>ROUND(I105*TEChuilelégère,2)</f>
        <v>1.86</v>
      </c>
      <c r="L105" s="139"/>
      <c r="M105" s="248">
        <f>TISP</f>
        <v>58.92</v>
      </c>
      <c r="N105" s="184" t="s">
        <v>1159</v>
      </c>
      <c r="O105" s="655" t="str">
        <f>P</f>
        <v>. . .</v>
      </c>
      <c r="P105" s="234" t="str">
        <f>"(18)"</f>
        <v>(18)</v>
      </c>
      <c r="Q105" s="186">
        <f>SUM(I105:P105)*19.6%</f>
        <v>19.654880000000002</v>
      </c>
      <c r="R105" s="747">
        <f>(SUM(I105:P105)-1)*13%</f>
        <v>12.906400000000001</v>
      </c>
      <c r="S105" s="156"/>
      <c r="T105" s="317">
        <v>5735</v>
      </c>
      <c r="U105" s="318"/>
      <c r="V105" s="319">
        <v>5727</v>
      </c>
      <c r="W105" s="320">
        <v>5960</v>
      </c>
      <c r="X105" s="320"/>
      <c r="Y105" s="141"/>
      <c r="Z105" s="141"/>
      <c r="AA105" s="315"/>
      <c r="AB105" s="19"/>
      <c r="AC105" s="20"/>
      <c r="AD105" s="112"/>
      <c r="AE105" s="31"/>
      <c r="AF105" s="31"/>
      <c r="AG105" s="31"/>
      <c r="AH105" s="31"/>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31"/>
    </row>
    <row r="106" spans="1:59" ht="12.75">
      <c r="A106" s="62">
        <v>43</v>
      </c>
      <c r="B106" s="74" t="s">
        <v>1160</v>
      </c>
      <c r="C106" s="179" t="s">
        <v>1161</v>
      </c>
      <c r="D106" s="69" t="s">
        <v>1162</v>
      </c>
      <c r="E106" s="432">
        <f>TEChuilelégère</f>
        <v>0.047</v>
      </c>
      <c r="F106" s="140"/>
      <c r="G106" s="108" t="s">
        <v>1163</v>
      </c>
      <c r="H106" s="109" t="s">
        <v>1164</v>
      </c>
      <c r="I106" s="532" t="str">
        <f>R</f>
        <v>Réelle</v>
      </c>
      <c r="J106" s="64" t="s">
        <v>1165</v>
      </c>
      <c r="K106" s="247">
        <f>TEChuilelégère</f>
        <v>0.047</v>
      </c>
      <c r="L106" s="139"/>
      <c r="M106" s="248" t="str">
        <f>"(9)"</f>
        <v>(9)</v>
      </c>
      <c r="N106" s="638"/>
      <c r="O106" s="655" t="str">
        <f>P</f>
        <v>. . .</v>
      </c>
      <c r="P106" s="234" t="str">
        <f>P</f>
        <v>. . .</v>
      </c>
      <c r="Q106" s="186" t="str">
        <f>VI</f>
        <v>(25)</v>
      </c>
      <c r="R106" s="747" t="str">
        <f>VI</f>
        <v>(25)</v>
      </c>
      <c r="S106" s="310"/>
      <c r="T106" s="317">
        <v>5717</v>
      </c>
      <c r="U106" s="318"/>
      <c r="W106" s="322" t="str">
        <f>t</f>
        <v>TVO</v>
      </c>
      <c r="X106" s="322"/>
      <c r="Y106" s="141"/>
      <c r="Z106" s="141"/>
      <c r="AA106" s="315"/>
      <c r="AB106" s="19"/>
      <c r="AC106" s="20"/>
      <c r="AD106" s="112"/>
      <c r="AE106" s="31"/>
      <c r="AF106" s="31"/>
      <c r="AG106" s="31"/>
      <c r="AH106" s="31"/>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31"/>
    </row>
    <row r="107" spans="1:59" ht="13.5">
      <c r="A107" s="323"/>
      <c r="B107" s="324"/>
      <c r="C107" s="325"/>
      <c r="D107" s="679"/>
      <c r="E107" s="699"/>
      <c r="F107" s="700"/>
      <c r="G107" s="326"/>
      <c r="H107" s="327"/>
      <c r="I107" s="712"/>
      <c r="J107" s="720"/>
      <c r="K107" s="328"/>
      <c r="L107" s="329"/>
      <c r="M107" s="248"/>
      <c r="N107" s="640"/>
      <c r="O107" s="661"/>
      <c r="P107" s="651"/>
      <c r="Q107" s="186"/>
      <c r="R107" s="747"/>
      <c r="S107" s="310"/>
      <c r="T107" s="149"/>
      <c r="U107" s="150"/>
      <c r="V107" s="151"/>
      <c r="W107" s="152"/>
      <c r="X107" s="152"/>
      <c r="Y107" s="315">
        <v>4004</v>
      </c>
      <c r="Z107" s="141">
        <v>4006</v>
      </c>
      <c r="AA107" s="315">
        <v>9301</v>
      </c>
      <c r="AB107" s="19"/>
      <c r="AC107" s="20"/>
      <c r="AD107" s="112"/>
      <c r="AE107" s="31"/>
      <c r="AF107" s="31"/>
      <c r="AG107" s="31"/>
      <c r="AH107" s="31"/>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31"/>
    </row>
    <row r="108" spans="1:59" ht="12.75">
      <c r="A108" s="62"/>
      <c r="B108" s="74"/>
      <c r="C108" s="176" t="s">
        <v>1166</v>
      </c>
      <c r="D108" s="680"/>
      <c r="E108" s="432"/>
      <c r="F108" s="140"/>
      <c r="G108" s="108"/>
      <c r="H108" s="109"/>
      <c r="I108" s="532"/>
      <c r="J108" s="64"/>
      <c r="K108" s="201"/>
      <c r="L108" s="139"/>
      <c r="M108" s="248"/>
      <c r="N108" s="638"/>
      <c r="O108" s="655"/>
      <c r="P108" s="148"/>
      <c r="Q108" s="186"/>
      <c r="R108" s="747"/>
      <c r="S108" s="310"/>
      <c r="T108" s="149"/>
      <c r="U108" s="150"/>
      <c r="V108" s="151"/>
      <c r="W108" s="152"/>
      <c r="X108" s="152"/>
      <c r="Y108" s="315">
        <v>4004</v>
      </c>
      <c r="Z108" s="141">
        <v>4006</v>
      </c>
      <c r="AA108" s="141">
        <v>9301</v>
      </c>
      <c r="AB108" s="19"/>
      <c r="AC108" s="20"/>
      <c r="AD108" s="112"/>
      <c r="AE108" s="31"/>
      <c r="AF108" s="31"/>
      <c r="AG108" s="31"/>
      <c r="AH108" s="31"/>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31"/>
    </row>
    <row r="109" spans="1:59" ht="12.75">
      <c r="A109" s="62">
        <v>44</v>
      </c>
      <c r="B109" s="74" t="s">
        <v>1167</v>
      </c>
      <c r="C109" s="176" t="s">
        <v>1168</v>
      </c>
      <c r="D109" s="69" t="s">
        <v>1169</v>
      </c>
      <c r="E109" s="432">
        <f>TEChuilelégère</f>
        <v>0.047</v>
      </c>
      <c r="F109" s="140"/>
      <c r="G109" s="108" t="s">
        <v>1170</v>
      </c>
      <c r="H109" s="109" t="s">
        <v>1171</v>
      </c>
      <c r="I109" s="532" t="str">
        <f>R</f>
        <v>Réelle</v>
      </c>
      <c r="J109" s="64" t="s">
        <v>1172</v>
      </c>
      <c r="K109" s="247">
        <f>TEChuilelégère</f>
        <v>0.047</v>
      </c>
      <c r="L109" s="139"/>
      <c r="M109" s="248" t="str">
        <f>"(9)"</f>
        <v>(9)</v>
      </c>
      <c r="N109" s="638"/>
      <c r="O109" s="655" t="str">
        <f>P</f>
        <v>. . .</v>
      </c>
      <c r="P109" s="234" t="str">
        <f>P</f>
        <v>. . .</v>
      </c>
      <c r="Q109" s="186" t="str">
        <f>VI</f>
        <v>(25)</v>
      </c>
      <c r="R109" s="747" t="str">
        <f>VI</f>
        <v>(25)</v>
      </c>
      <c r="S109" s="310"/>
      <c r="T109" s="317">
        <v>5717</v>
      </c>
      <c r="U109" s="318"/>
      <c r="V109" s="330"/>
      <c r="W109" s="322" t="str">
        <f>t</f>
        <v>TVO</v>
      </c>
      <c r="X109" s="322"/>
      <c r="Y109" s="141"/>
      <c r="Z109" s="141"/>
      <c r="AA109" s="141"/>
      <c r="AB109" s="19"/>
      <c r="AC109" s="20"/>
      <c r="AD109" s="63"/>
      <c r="AE109" s="74"/>
      <c r="AF109" s="74"/>
      <c r="AG109" s="74"/>
      <c r="AH109" s="206"/>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31"/>
    </row>
    <row r="110" spans="1:59" ht="12.75">
      <c r="A110" s="62">
        <v>45</v>
      </c>
      <c r="B110" s="74" t="s">
        <v>1173</v>
      </c>
      <c r="C110" s="176" t="s">
        <v>1174</v>
      </c>
      <c r="D110" s="69" t="s">
        <v>1175</v>
      </c>
      <c r="E110" s="432">
        <f>TEChuilelégère</f>
        <v>0.047</v>
      </c>
      <c r="F110" s="140"/>
      <c r="G110" s="108" t="s">
        <v>1176</v>
      </c>
      <c r="H110" s="109" t="s">
        <v>1177</v>
      </c>
      <c r="I110" s="532" t="str">
        <f>R</f>
        <v>Réelle</v>
      </c>
      <c r="J110" s="64" t="s">
        <v>1178</v>
      </c>
      <c r="K110" s="247">
        <f>TEChuilelégère</f>
        <v>0.047</v>
      </c>
      <c r="L110" s="139"/>
      <c r="M110" s="248" t="str">
        <f>"(9)"</f>
        <v>(9)</v>
      </c>
      <c r="N110" s="638"/>
      <c r="O110" s="655" t="str">
        <f>P</f>
        <v>. . .</v>
      </c>
      <c r="P110" s="234" t="str">
        <f>P</f>
        <v>. . .</v>
      </c>
      <c r="Q110" s="186" t="str">
        <f>VI</f>
        <v>(25)</v>
      </c>
      <c r="R110" s="747" t="str">
        <f>VI</f>
        <v>(25)</v>
      </c>
      <c r="S110" s="310"/>
      <c r="T110" s="317">
        <v>5717</v>
      </c>
      <c r="U110" s="318"/>
      <c r="W110" s="322" t="str">
        <f>t</f>
        <v>TVO</v>
      </c>
      <c r="X110" s="322"/>
      <c r="Y110" s="141"/>
      <c r="Z110" s="141"/>
      <c r="AA110" s="331"/>
      <c r="AB110" s="332"/>
      <c r="AC110" s="20"/>
      <c r="AD110" s="63"/>
      <c r="AE110" s="74"/>
      <c r="AF110" s="74"/>
      <c r="AG110" s="74"/>
      <c r="AH110" s="206"/>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31"/>
    </row>
    <row r="111" spans="1:59" ht="13.5">
      <c r="A111" s="62"/>
      <c r="B111" s="74"/>
      <c r="C111" s="176"/>
      <c r="D111" s="680"/>
      <c r="E111" s="432"/>
      <c r="F111" s="140"/>
      <c r="G111" s="108"/>
      <c r="H111" s="109"/>
      <c r="I111" s="532"/>
      <c r="J111" s="64"/>
      <c r="K111" s="201"/>
      <c r="L111" s="139"/>
      <c r="M111" s="248"/>
      <c r="N111" s="638"/>
      <c r="O111" s="655"/>
      <c r="P111" s="234"/>
      <c r="Q111" s="186"/>
      <c r="R111" s="747"/>
      <c r="S111" s="156"/>
      <c r="T111" s="149"/>
      <c r="U111" s="150"/>
      <c r="V111" s="151"/>
      <c r="W111" s="152"/>
      <c r="X111" s="152"/>
      <c r="Y111" s="141"/>
      <c r="Z111" s="141"/>
      <c r="AA111" s="141"/>
      <c r="AB111" s="19"/>
      <c r="AC111" s="20"/>
      <c r="AD111" s="333"/>
      <c r="AE111" s="334"/>
      <c r="AF111" s="334"/>
      <c r="AG111" s="334"/>
      <c r="AH111" s="334"/>
      <c r="AI111" s="335"/>
      <c r="AJ111" s="335"/>
      <c r="AK111" s="335"/>
      <c r="AL111" s="335"/>
      <c r="AM111" s="335"/>
      <c r="AN111" s="335"/>
      <c r="AO111" s="335"/>
      <c r="AP111" s="335"/>
      <c r="AQ111" s="335"/>
      <c r="AR111" s="335"/>
      <c r="AS111" s="335"/>
      <c r="AT111" s="335"/>
      <c r="AU111" s="335"/>
      <c r="AV111" s="335"/>
      <c r="AW111" s="335"/>
      <c r="AX111" s="335"/>
      <c r="AY111" s="335"/>
      <c r="AZ111" s="335"/>
      <c r="BA111" s="335"/>
      <c r="BB111" s="335"/>
      <c r="BC111" s="335"/>
      <c r="BD111" s="335"/>
      <c r="BE111" s="335"/>
      <c r="BF111" s="335"/>
      <c r="BG111" s="334"/>
    </row>
    <row r="112" spans="1:59" ht="12.75">
      <c r="A112" s="62"/>
      <c r="B112" s="74"/>
      <c r="C112" s="176" t="s">
        <v>1179</v>
      </c>
      <c r="D112" s="680"/>
      <c r="E112" s="432"/>
      <c r="F112" s="140"/>
      <c r="G112" s="108"/>
      <c r="H112" s="109"/>
      <c r="I112" s="532"/>
      <c r="J112" s="64"/>
      <c r="K112" s="201"/>
      <c r="L112" s="139"/>
      <c r="M112" s="248"/>
      <c r="N112" s="638"/>
      <c r="O112" s="655"/>
      <c r="P112" s="148"/>
      <c r="Q112" s="186"/>
      <c r="R112" s="747"/>
      <c r="S112" s="156"/>
      <c r="T112" s="149"/>
      <c r="U112" s="150"/>
      <c r="V112" s="151"/>
      <c r="W112" s="152"/>
      <c r="X112" s="152"/>
      <c r="Y112" s="141"/>
      <c r="Z112" s="141"/>
      <c r="AA112" s="141"/>
      <c r="AB112" s="19"/>
      <c r="AC112" s="20"/>
      <c r="AD112" s="336"/>
      <c r="AE112" s="337"/>
      <c r="AF112" s="337"/>
      <c r="AG112" s="337"/>
      <c r="AH112" s="337"/>
      <c r="AI112" s="338"/>
      <c r="AJ112" s="338"/>
      <c r="AK112" s="338"/>
      <c r="AL112" s="338"/>
      <c r="AM112" s="338"/>
      <c r="AN112" s="338"/>
      <c r="AO112" s="338"/>
      <c r="AP112" s="338"/>
      <c r="AQ112" s="338"/>
      <c r="AR112" s="338"/>
      <c r="AS112" s="338"/>
      <c r="AT112" s="338"/>
      <c r="AU112" s="338"/>
      <c r="AV112" s="338"/>
      <c r="AW112" s="338"/>
      <c r="AX112" s="338"/>
      <c r="AY112" s="338"/>
      <c r="AZ112" s="338"/>
      <c r="BA112" s="338"/>
      <c r="BB112" s="338"/>
      <c r="BC112" s="338"/>
      <c r="BD112" s="338"/>
      <c r="BE112" s="338"/>
      <c r="BF112" s="338"/>
      <c r="BG112" s="337"/>
    </row>
    <row r="113" spans="1:59" ht="12.75">
      <c r="A113" s="62">
        <v>46</v>
      </c>
      <c r="B113" s="74" t="s">
        <v>1180</v>
      </c>
      <c r="C113" s="176" t="s">
        <v>1181</v>
      </c>
      <c r="D113" s="680" t="s">
        <v>1182</v>
      </c>
      <c r="E113" s="432"/>
      <c r="F113" s="140"/>
      <c r="G113" s="108"/>
      <c r="H113" s="109"/>
      <c r="I113" s="64"/>
      <c r="J113" s="64"/>
      <c r="K113" s="139"/>
      <c r="L113" s="139"/>
      <c r="M113" s="248"/>
      <c r="N113" s="638"/>
      <c r="O113" s="655"/>
      <c r="P113" s="148"/>
      <c r="Q113" s="186"/>
      <c r="R113" s="747"/>
      <c r="S113" s="339"/>
      <c r="T113" s="149"/>
      <c r="U113" s="150"/>
      <c r="V113" s="151"/>
      <c r="W113" s="152"/>
      <c r="X113" s="152"/>
      <c r="Y113" s="18">
        <v>9050</v>
      </c>
      <c r="Z113" s="18">
        <v>9306</v>
      </c>
      <c r="AA113" s="141">
        <v>9301</v>
      </c>
      <c r="AB113" s="19"/>
      <c r="AC113" s="20"/>
      <c r="AD113" s="336"/>
      <c r="AE113" s="337"/>
      <c r="AF113" s="337"/>
      <c r="AG113" s="337"/>
      <c r="AH113" s="337"/>
      <c r="AI113" s="338"/>
      <c r="AJ113" s="338"/>
      <c r="AK113" s="338"/>
      <c r="AL113" s="338"/>
      <c r="AM113" s="338"/>
      <c r="AN113" s="338"/>
      <c r="AO113" s="338"/>
      <c r="AP113" s="338"/>
      <c r="AQ113" s="338"/>
      <c r="AR113" s="338"/>
      <c r="AS113" s="338"/>
      <c r="AT113" s="338"/>
      <c r="AU113" s="338"/>
      <c r="AV113" s="338"/>
      <c r="AW113" s="338"/>
      <c r="AX113" s="338"/>
      <c r="AY113" s="338"/>
      <c r="AZ113" s="338"/>
      <c r="BA113" s="338"/>
      <c r="BB113" s="338"/>
      <c r="BC113" s="338"/>
      <c r="BD113" s="338"/>
      <c r="BE113" s="338"/>
      <c r="BF113" s="338"/>
      <c r="BG113" s="337"/>
    </row>
    <row r="114" spans="1:59" ht="12.75">
      <c r="A114" s="62"/>
      <c r="B114" s="74"/>
      <c r="C114" s="176" t="s">
        <v>1183</v>
      </c>
      <c r="D114" s="680"/>
      <c r="E114" s="432"/>
      <c r="F114" s="140"/>
      <c r="G114" s="108"/>
      <c r="H114" s="109"/>
      <c r="I114" s="532"/>
      <c r="J114" s="64"/>
      <c r="K114" s="201"/>
      <c r="L114" s="139"/>
      <c r="M114" s="248"/>
      <c r="N114" s="638"/>
      <c r="O114" s="655"/>
      <c r="P114" s="234"/>
      <c r="Q114" s="186"/>
      <c r="R114" s="747"/>
      <c r="S114" s="156"/>
      <c r="T114" s="149"/>
      <c r="U114" s="150"/>
      <c r="V114" s="151"/>
      <c r="W114" s="152"/>
      <c r="X114" s="152"/>
      <c r="Y114" s="18">
        <v>9055</v>
      </c>
      <c r="Z114" s="18">
        <v>9301</v>
      </c>
      <c r="AA114" s="141"/>
      <c r="AB114" s="19"/>
      <c r="AC114" s="20"/>
      <c r="AD114" s="112"/>
      <c r="AE114" s="31"/>
      <c r="AF114" s="31"/>
      <c r="AG114" s="31"/>
      <c r="AH114" s="31"/>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31"/>
    </row>
    <row r="115" spans="1:59" ht="12.75">
      <c r="A115" s="62"/>
      <c r="B115" s="74"/>
      <c r="C115" s="176" t="s">
        <v>1184</v>
      </c>
      <c r="D115" s="69" t="s">
        <v>1185</v>
      </c>
      <c r="E115" s="432">
        <f>TEChuilelégère</f>
        <v>0.047</v>
      </c>
      <c r="F115" s="140"/>
      <c r="G115" s="108" t="s">
        <v>1186</v>
      </c>
      <c r="H115" s="109" t="s">
        <v>1187</v>
      </c>
      <c r="I115" s="532">
        <f>VFCB</f>
        <v>37.75</v>
      </c>
      <c r="J115" s="64" t="s">
        <v>1188</v>
      </c>
      <c r="K115" s="201">
        <f>ROUND(I115*TEChuilelégère,2)</f>
        <v>1.77</v>
      </c>
      <c r="L115" s="139"/>
      <c r="M115" s="248" t="s">
        <v>1189</v>
      </c>
      <c r="N115" s="638"/>
      <c r="O115" s="655" t="str">
        <f>P</f>
        <v>. . .</v>
      </c>
      <c r="P115" s="234" t="str">
        <f>"(18)"</f>
        <v>(18)</v>
      </c>
      <c r="Q115" s="186">
        <f>TVACARBUAERONEFmetro</f>
        <v>7.399</v>
      </c>
      <c r="R115" s="747">
        <f>TVACARBUAERONEFcorse</f>
        <v>4.9075</v>
      </c>
      <c r="S115" s="156"/>
      <c r="T115" s="50"/>
      <c r="U115" s="51"/>
      <c r="V115" s="11">
        <v>5729</v>
      </c>
      <c r="W115" s="185">
        <v>5901</v>
      </c>
      <c r="X115" s="185"/>
      <c r="Y115" s="18">
        <v>4012</v>
      </c>
      <c r="Z115" s="18">
        <v>9301</v>
      </c>
      <c r="AA115" s="141"/>
      <c r="AB115" s="19"/>
      <c r="AC115" s="20"/>
      <c r="AD115" s="112"/>
      <c r="AE115" s="31"/>
      <c r="AF115" s="31"/>
      <c r="AG115" s="31"/>
      <c r="AH115" s="31"/>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31"/>
    </row>
    <row r="116" spans="1:59" ht="12.75">
      <c r="A116" s="62">
        <v>47</v>
      </c>
      <c r="B116" s="74" t="s">
        <v>1190</v>
      </c>
      <c r="C116" s="176" t="s">
        <v>1191</v>
      </c>
      <c r="D116" s="69" t="s">
        <v>1192</v>
      </c>
      <c r="E116" s="432">
        <f>TEChuilelégère</f>
        <v>0.047</v>
      </c>
      <c r="F116" s="140"/>
      <c r="G116" s="108" t="s">
        <v>1193</v>
      </c>
      <c r="H116" s="109" t="s">
        <v>1194</v>
      </c>
      <c r="I116" s="532">
        <f>VFCB</f>
        <v>37.75</v>
      </c>
      <c r="J116" s="64" t="s">
        <v>1195</v>
      </c>
      <c r="K116" s="201">
        <f>ROUND(I116*TEChuilelégère,2)</f>
        <v>1.77</v>
      </c>
      <c r="L116" s="139"/>
      <c r="M116" s="248">
        <f>TICBSCE</f>
        <v>2.54</v>
      </c>
      <c r="N116" s="638"/>
      <c r="O116" s="655" t="str">
        <f>P</f>
        <v>. . .</v>
      </c>
      <c r="P116" s="234" t="str">
        <f>"(18)"</f>
        <v>(18)</v>
      </c>
      <c r="Q116" s="186">
        <f>SUM(I116:P116)*19.6%</f>
        <v>8.24376</v>
      </c>
      <c r="R116" s="747">
        <f>SUM(I116:P116)*13%</f>
        <v>5.4678</v>
      </c>
      <c r="S116" s="156"/>
      <c r="T116" s="50">
        <v>5707</v>
      </c>
      <c r="U116" s="51"/>
      <c r="V116" s="52">
        <v>5729</v>
      </c>
      <c r="W116" s="185">
        <v>5919</v>
      </c>
      <c r="X116" s="185"/>
      <c r="Y116" s="18">
        <v>9306</v>
      </c>
      <c r="Z116" s="18">
        <v>9301</v>
      </c>
      <c r="AA116" s="18"/>
      <c r="AB116" s="19"/>
      <c r="AC116" s="20"/>
      <c r="AD116" s="112"/>
      <c r="AE116" s="31"/>
      <c r="AF116" s="31"/>
      <c r="AG116" s="31"/>
      <c r="AH116" s="31"/>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31"/>
    </row>
    <row r="117" spans="1:92" s="245" customFormat="1" ht="12.75">
      <c r="A117" s="62">
        <v>48</v>
      </c>
      <c r="B117" s="74" t="s">
        <v>1196</v>
      </c>
      <c r="C117" s="176" t="s">
        <v>1197</v>
      </c>
      <c r="D117" s="69" t="s">
        <v>1198</v>
      </c>
      <c r="E117" s="432">
        <f>TEChuilelégère</f>
        <v>0.047</v>
      </c>
      <c r="F117" s="140"/>
      <c r="G117" s="108" t="s">
        <v>1199</v>
      </c>
      <c r="H117" s="109" t="s">
        <v>1200</v>
      </c>
      <c r="I117" s="532">
        <f>VFCB</f>
        <v>37.75</v>
      </c>
      <c r="J117" s="64" t="s">
        <v>1201</v>
      </c>
      <c r="K117" s="201">
        <f>ROUND(I117*TEChuilelégère,2)</f>
        <v>1.77</v>
      </c>
      <c r="L117" s="139"/>
      <c r="M117" s="248" t="s">
        <v>1202</v>
      </c>
      <c r="N117" s="638"/>
      <c r="O117" s="655" t="str">
        <f>P</f>
        <v>. . .</v>
      </c>
      <c r="P117" s="234" t="str">
        <f>P</f>
        <v>. . .</v>
      </c>
      <c r="Q117" s="186">
        <f>SUM(I117:P117)*19.6%</f>
        <v>7.745920000000001</v>
      </c>
      <c r="R117" s="747">
        <f>SUM(I117:P117)*13%</f>
        <v>5.137600000000001</v>
      </c>
      <c r="S117" s="156"/>
      <c r="T117" s="9"/>
      <c r="U117" s="10"/>
      <c r="V117" s="11"/>
      <c r="W117" s="185">
        <v>5946</v>
      </c>
      <c r="X117" s="185"/>
      <c r="Y117" s="242"/>
      <c r="Z117" s="242"/>
      <c r="AA117" s="340"/>
      <c r="AB117" s="244"/>
      <c r="AC117" s="20"/>
      <c r="AD117" s="112"/>
      <c r="AE117" s="31"/>
      <c r="AF117" s="31"/>
      <c r="AG117" s="31"/>
      <c r="AH117" s="31"/>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row>
    <row r="118" spans="1:59" ht="13.5" thickBot="1">
      <c r="A118" s="187">
        <v>49</v>
      </c>
      <c r="B118" s="188" t="s">
        <v>1203</v>
      </c>
      <c r="C118" s="341" t="s">
        <v>1204</v>
      </c>
      <c r="D118" s="634" t="s">
        <v>1205</v>
      </c>
      <c r="E118" s="689">
        <f>TEChuilelégère</f>
        <v>0.047</v>
      </c>
      <c r="F118" s="690"/>
      <c r="G118" s="191" t="s">
        <v>1206</v>
      </c>
      <c r="H118" s="192" t="s">
        <v>1207</v>
      </c>
      <c r="I118" s="656">
        <f>VFCB</f>
        <v>37.75</v>
      </c>
      <c r="J118" s="708" t="s">
        <v>1208</v>
      </c>
      <c r="K118" s="342">
        <f>ROUND(I118*TEChuilelégère,2)</f>
        <v>1.77</v>
      </c>
      <c r="L118" s="193"/>
      <c r="M118" s="194">
        <f>TISP</f>
        <v>58.92</v>
      </c>
      <c r="N118" s="484"/>
      <c r="O118" s="656" t="str">
        <f>P</f>
        <v>. . .</v>
      </c>
      <c r="P118" s="644" t="str">
        <f>"(18)"</f>
        <v>(18)</v>
      </c>
      <c r="Q118" s="343">
        <f>SUM(I118:P118)*19.6%</f>
        <v>19.294240000000002</v>
      </c>
      <c r="R118" s="749">
        <f>(SUM(I118:P118))*13%</f>
        <v>12.7972</v>
      </c>
      <c r="S118" s="156"/>
      <c r="T118" s="50">
        <v>5716</v>
      </c>
      <c r="U118" s="51"/>
      <c r="V118" s="52">
        <v>5729</v>
      </c>
      <c r="W118" s="185">
        <v>5905</v>
      </c>
      <c r="X118" s="185"/>
      <c r="Y118" s="18"/>
      <c r="Z118" s="18"/>
      <c r="AA118" s="18"/>
      <c r="AB118" s="19"/>
      <c r="AC118" s="20"/>
      <c r="AD118" s="112"/>
      <c r="AE118" s="31"/>
      <c r="AF118" s="31"/>
      <c r="AG118" s="31"/>
      <c r="AH118" s="31"/>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31"/>
    </row>
    <row r="119" spans="1:59" ht="12.75">
      <c r="A119" s="344"/>
      <c r="B119" s="252"/>
      <c r="C119" s="253" t="s">
        <v>1209</v>
      </c>
      <c r="D119" s="254">
        <f>TISP-1</f>
        <v>57.92</v>
      </c>
      <c r="E119" s="255" t="s">
        <v>1210</v>
      </c>
      <c r="F119" s="256"/>
      <c r="G119" s="257"/>
      <c r="H119" s="257"/>
      <c r="I119" s="258"/>
      <c r="J119" s="258"/>
      <c r="K119" s="259" t="s">
        <v>1211</v>
      </c>
      <c r="L119" s="260"/>
      <c r="M119" s="263"/>
      <c r="N119" s="261"/>
      <c r="O119" s="262"/>
      <c r="P119" s="262"/>
      <c r="Q119" s="263">
        <f>TIARS-1</f>
        <v>62.96</v>
      </c>
      <c r="R119" s="263" t="s">
        <v>1212</v>
      </c>
      <c r="S119" s="74"/>
      <c r="T119" s="348"/>
      <c r="U119" s="349"/>
      <c r="V119" s="350"/>
      <c r="W119" s="351"/>
      <c r="X119" s="351"/>
      <c r="Y119" s="18"/>
      <c r="Z119" s="18"/>
      <c r="AA119" s="18"/>
      <c r="AB119" s="19"/>
      <c r="AC119" s="229"/>
      <c r="AD119" s="112"/>
      <c r="AE119" s="31"/>
      <c r="AF119" s="31"/>
      <c r="AG119" s="31"/>
      <c r="AH119" s="31"/>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31"/>
    </row>
    <row r="120" spans="1:59" ht="12.75">
      <c r="A120" s="63"/>
      <c r="B120" s="74"/>
      <c r="C120" s="352" t="s">
        <v>1213</v>
      </c>
      <c r="D120" s="245"/>
      <c r="E120" s="353"/>
      <c r="F120" s="354"/>
      <c r="G120" s="355" t="s">
        <v>1214</v>
      </c>
      <c r="H120" s="356"/>
      <c r="I120" s="245"/>
      <c r="J120" s="245"/>
      <c r="K120" s="239"/>
      <c r="L120" s="357"/>
      <c r="M120" s="184"/>
      <c r="N120" s="358"/>
      <c r="O120" s="358"/>
      <c r="P120" s="7"/>
      <c r="Q120" s="184"/>
      <c r="R120" s="184"/>
      <c r="S120" s="359"/>
      <c r="T120" s="360"/>
      <c r="U120" s="361"/>
      <c r="V120" s="52"/>
      <c r="W120" s="53"/>
      <c r="X120" s="53"/>
      <c r="Y120" s="18"/>
      <c r="Z120" s="18"/>
      <c r="AA120" s="315"/>
      <c r="AB120" s="204"/>
      <c r="AC120" s="19"/>
      <c r="AD120" s="112"/>
      <c r="AE120" s="31"/>
      <c r="AF120" s="31"/>
      <c r="AG120" s="31"/>
      <c r="AH120" s="31"/>
      <c r="AI120" s="135"/>
      <c r="AJ120" s="135"/>
      <c r="AK120" s="135"/>
      <c r="AL120" s="135"/>
      <c r="AM120" s="135"/>
      <c r="AN120" s="135"/>
      <c r="AO120" s="135"/>
      <c r="AP120" s="135"/>
      <c r="AQ120" s="135"/>
      <c r="AR120" s="135"/>
      <c r="AS120" s="135"/>
      <c r="AT120" s="135"/>
      <c r="AU120" s="135"/>
      <c r="AV120" s="135"/>
      <c r="AW120" s="135"/>
      <c r="AX120" s="135"/>
      <c r="AY120" s="135"/>
      <c r="AZ120" s="135"/>
      <c r="BA120" s="135"/>
      <c r="BB120" s="135"/>
      <c r="BC120" s="22"/>
      <c r="BD120" s="135"/>
      <c r="BE120" s="135"/>
      <c r="BF120" s="135"/>
      <c r="BG120" s="31"/>
    </row>
    <row r="121" spans="1:60" s="7" customFormat="1" ht="12.75">
      <c r="A121" s="197"/>
      <c r="B121" s="198"/>
      <c r="C121" s="362"/>
      <c r="D121" s="68"/>
      <c r="E121" s="691"/>
      <c r="F121" s="692"/>
      <c r="G121" s="79"/>
      <c r="H121" s="80"/>
      <c r="I121" s="667"/>
      <c r="J121" s="667"/>
      <c r="K121" s="200"/>
      <c r="L121" s="200"/>
      <c r="M121" s="248"/>
      <c r="N121" s="649"/>
      <c r="O121" s="657"/>
      <c r="P121" s="652"/>
      <c r="Q121" s="186"/>
      <c r="R121" s="186"/>
      <c r="S121" s="363"/>
      <c r="T121" s="50"/>
      <c r="U121" s="51"/>
      <c r="V121" s="52"/>
      <c r="W121" s="53"/>
      <c r="X121" s="53"/>
      <c r="Y121" s="18">
        <v>9348</v>
      </c>
      <c r="Z121" s="18">
        <v>9301</v>
      </c>
      <c r="AA121" s="18"/>
      <c r="AB121" s="250"/>
      <c r="AC121" s="20"/>
      <c r="AD121" s="20"/>
      <c r="AE121" s="63"/>
      <c r="AF121" s="74"/>
      <c r="AG121" s="74"/>
      <c r="AH121" s="74"/>
      <c r="AI121" s="206"/>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31"/>
    </row>
    <row r="122" spans="1:60" ht="12.75">
      <c r="A122" s="364"/>
      <c r="B122" s="74"/>
      <c r="C122" s="176" t="s">
        <v>1215</v>
      </c>
      <c r="D122" s="681"/>
      <c r="E122" s="432"/>
      <c r="F122" s="701"/>
      <c r="G122" s="365"/>
      <c r="H122" s="366"/>
      <c r="I122" s="64"/>
      <c r="J122" s="721"/>
      <c r="K122" s="345"/>
      <c r="L122" s="367"/>
      <c r="M122" s="248"/>
      <c r="N122" s="525"/>
      <c r="O122" s="655"/>
      <c r="P122" s="653"/>
      <c r="Q122" s="186"/>
      <c r="R122" s="186"/>
      <c r="S122" s="363"/>
      <c r="T122" s="50"/>
      <c r="U122" s="51"/>
      <c r="V122" s="52"/>
      <c r="W122" s="53"/>
      <c r="X122" s="53"/>
      <c r="Y122" s="13">
        <v>4012</v>
      </c>
      <c r="Z122" s="13">
        <v>9301</v>
      </c>
      <c r="AA122" s="18"/>
      <c r="AB122" s="19"/>
      <c r="AC122" s="20"/>
      <c r="AD122" s="20"/>
      <c r="AE122" s="112"/>
      <c r="AF122" s="31"/>
      <c r="AG122" s="31"/>
      <c r="AH122" s="31"/>
      <c r="AI122" s="31"/>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31"/>
    </row>
    <row r="123" spans="1:59" ht="12.75">
      <c r="A123" s="62">
        <v>50</v>
      </c>
      <c r="B123" s="74" t="s">
        <v>1216</v>
      </c>
      <c r="C123" s="176" t="s">
        <v>1217</v>
      </c>
      <c r="D123" s="81" t="s">
        <v>1218</v>
      </c>
      <c r="E123" s="432">
        <f>TEChuilelégère</f>
        <v>0.047</v>
      </c>
      <c r="F123" s="140"/>
      <c r="G123" s="183" t="s">
        <v>1219</v>
      </c>
      <c r="H123" s="63" t="s">
        <v>1220</v>
      </c>
      <c r="I123" s="532">
        <f>vfspb</f>
        <v>39.5</v>
      </c>
      <c r="J123" s="64" t="s">
        <v>1221</v>
      </c>
      <c r="K123" s="184">
        <f>ROUND(I123*TEChuilelégère,2)</f>
        <v>1.86</v>
      </c>
      <c r="L123" s="138"/>
      <c r="M123" s="248">
        <f>TISP</f>
        <v>58.92</v>
      </c>
      <c r="N123" s="638"/>
      <c r="O123" s="655" t="str">
        <f>P</f>
        <v>. . .</v>
      </c>
      <c r="P123" s="234" t="str">
        <f>P</f>
        <v>. . .</v>
      </c>
      <c r="Q123" s="186">
        <f>SUM(I123:P123)*19.6%</f>
        <v>19.654880000000002</v>
      </c>
      <c r="R123" s="186">
        <f>(SUM(I123:P123))*13%</f>
        <v>13.0364</v>
      </c>
      <c r="T123" s="50">
        <v>5734</v>
      </c>
      <c r="U123" s="51"/>
      <c r="W123" s="185">
        <v>5966</v>
      </c>
      <c r="X123" s="185"/>
      <c r="Y123" s="141"/>
      <c r="Z123" s="141"/>
      <c r="AA123" s="18"/>
      <c r="AB123" s="19"/>
      <c r="AC123" s="20"/>
      <c r="AD123" s="112"/>
      <c r="AE123" s="31"/>
      <c r="AF123" s="31"/>
      <c r="AG123" s="31"/>
      <c r="AH123" s="31"/>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31"/>
    </row>
    <row r="124" spans="1:59" ht="12.75">
      <c r="A124" s="62">
        <v>51</v>
      </c>
      <c r="B124" s="74" t="s">
        <v>1222</v>
      </c>
      <c r="C124" s="176" t="s">
        <v>1223</v>
      </c>
      <c r="D124" s="81" t="s">
        <v>1224</v>
      </c>
      <c r="E124" s="432">
        <f>TEChuilelégère</f>
        <v>0.047</v>
      </c>
      <c r="F124" s="140"/>
      <c r="G124" s="108" t="s">
        <v>1225</v>
      </c>
      <c r="H124" s="109" t="s">
        <v>1226</v>
      </c>
      <c r="I124" s="532">
        <f>vfspb</f>
        <v>39.5</v>
      </c>
      <c r="J124" s="64" t="s">
        <v>1227</v>
      </c>
      <c r="K124" s="201">
        <f>ROUND(I124*TEChuilelégère,2)</f>
        <v>1.86</v>
      </c>
      <c r="L124" s="139"/>
      <c r="M124" s="248" t="s">
        <v>1228</v>
      </c>
      <c r="N124" s="638"/>
      <c r="O124" s="655" t="str">
        <f>P</f>
        <v>. . .</v>
      </c>
      <c r="P124" s="234" t="str">
        <f>P</f>
        <v>. . .</v>
      </c>
      <c r="Q124" s="186">
        <f>SUM(I124:P124)*19.6%</f>
        <v>8.10656</v>
      </c>
      <c r="R124" s="186">
        <f>SUM(I124:P124)*13%</f>
        <v>5.3768</v>
      </c>
      <c r="S124" s="286"/>
      <c r="W124" s="309">
        <v>5907</v>
      </c>
      <c r="X124" s="309"/>
      <c r="Y124" s="18"/>
      <c r="Z124" s="18"/>
      <c r="AA124" s="18"/>
      <c r="AB124" s="19"/>
      <c r="AC124" s="20"/>
      <c r="AD124" s="336"/>
      <c r="AE124" s="337"/>
      <c r="AF124" s="337"/>
      <c r="AG124" s="337"/>
      <c r="AH124" s="337"/>
      <c r="AI124" s="338"/>
      <c r="AJ124" s="338"/>
      <c r="AK124" s="338"/>
      <c r="AL124" s="338"/>
      <c r="AM124" s="338"/>
      <c r="AN124" s="338"/>
      <c r="AO124" s="338"/>
      <c r="AP124" s="338"/>
      <c r="AQ124" s="338"/>
      <c r="AR124" s="338"/>
      <c r="AS124" s="338"/>
      <c r="AT124" s="338"/>
      <c r="AU124" s="338"/>
      <c r="AV124" s="338"/>
      <c r="AW124" s="338"/>
      <c r="AX124" s="338"/>
      <c r="AY124" s="338"/>
      <c r="AZ124" s="338"/>
      <c r="BA124" s="338"/>
      <c r="BB124" s="338"/>
      <c r="BC124" s="338"/>
      <c r="BD124" s="338"/>
      <c r="BE124" s="338"/>
      <c r="BF124" s="338"/>
      <c r="BG124" s="337"/>
    </row>
    <row r="125" spans="1:59" ht="12.75">
      <c r="A125" s="211"/>
      <c r="B125" s="212"/>
      <c r="C125" s="368" t="s">
        <v>1229</v>
      </c>
      <c r="D125" s="682"/>
      <c r="E125" s="693"/>
      <c r="F125" s="694"/>
      <c r="G125" s="369"/>
      <c r="H125" s="370"/>
      <c r="I125" s="709"/>
      <c r="J125" s="709"/>
      <c r="K125" s="215"/>
      <c r="L125" s="215"/>
      <c r="M125" s="248"/>
      <c r="N125" s="346"/>
      <c r="O125" s="658"/>
      <c r="P125" s="216"/>
      <c r="Q125" s="186"/>
      <c r="R125" s="186"/>
      <c r="S125" s="363"/>
      <c r="T125" s="149"/>
      <c r="U125" s="150"/>
      <c r="V125" s="151"/>
      <c r="W125" s="152"/>
      <c r="X125" s="152"/>
      <c r="Y125" s="217">
        <v>9052</v>
      </c>
      <c r="Z125" s="217">
        <v>9301</v>
      </c>
      <c r="AB125" s="19"/>
      <c r="AC125" s="20"/>
      <c r="AD125" s="112"/>
      <c r="AE125" s="31"/>
      <c r="AF125" s="31"/>
      <c r="AG125" s="31"/>
      <c r="AH125" s="31"/>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31"/>
    </row>
    <row r="126" spans="1:59" ht="12.75">
      <c r="A126" s="62"/>
      <c r="B126" s="212"/>
      <c r="C126" s="371" t="str">
        <f>"- - - Huiles moyennes :"</f>
        <v>- - - Huiles moyennes :</v>
      </c>
      <c r="D126" s="682"/>
      <c r="E126" s="693"/>
      <c r="F126" s="694"/>
      <c r="G126" s="369"/>
      <c r="H126" s="370"/>
      <c r="I126" s="709"/>
      <c r="J126" s="709"/>
      <c r="K126" s="215"/>
      <c r="L126" s="215"/>
      <c r="M126" s="248"/>
      <c r="N126" s="346"/>
      <c r="O126" s="658"/>
      <c r="P126" s="216"/>
      <c r="Q126" s="186"/>
      <c r="R126" s="186"/>
      <c r="S126" s="363"/>
      <c r="T126" s="50"/>
      <c r="U126" s="51"/>
      <c r="V126" s="52"/>
      <c r="W126" s="53"/>
      <c r="X126" s="53"/>
      <c r="Y126" s="217"/>
      <c r="Z126" s="217"/>
      <c r="AA126" s="141"/>
      <c r="AB126" s="19"/>
      <c r="AC126" s="20"/>
      <c r="AD126" s="112"/>
      <c r="AE126" s="31"/>
      <c r="AF126" s="31"/>
      <c r="AG126" s="31"/>
      <c r="AH126" s="31"/>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31"/>
    </row>
    <row r="127" spans="1:59" ht="12.75">
      <c r="A127" s="62">
        <v>52</v>
      </c>
      <c r="B127" s="74" t="s">
        <v>1230</v>
      </c>
      <c r="C127" s="99" t="str">
        <f>"- - - - destinées à subir un traitement défini (3)(30)(32)................................................................................................."</f>
        <v>- - - - destinées à subir un traitement défini (3)(30)(32).................................................................................................</v>
      </c>
      <c r="D127" s="81" t="s">
        <v>1231</v>
      </c>
      <c r="E127" s="432" t="s">
        <v>1232</v>
      </c>
      <c r="F127" s="140"/>
      <c r="G127" s="372" t="s">
        <v>1233</v>
      </c>
      <c r="H127" s="109" t="s">
        <v>1234</v>
      </c>
      <c r="I127" s="64" t="str">
        <f>R</f>
        <v>Réelle</v>
      </c>
      <c r="J127" s="64" t="s">
        <v>1235</v>
      </c>
      <c r="K127" s="202" t="s">
        <v>1236</v>
      </c>
      <c r="L127" s="139"/>
      <c r="M127" s="248" t="str">
        <f>"(3)"</f>
        <v>(3)</v>
      </c>
      <c r="N127" s="638"/>
      <c r="O127" s="655" t="str">
        <f>P</f>
        <v>. . .</v>
      </c>
      <c r="P127" s="248" t="str">
        <f>"(3)"</f>
        <v>(3)</v>
      </c>
      <c r="Q127" s="186" t="str">
        <f>"(3)"</f>
        <v>(3)</v>
      </c>
      <c r="R127" s="186" t="str">
        <f>"(3)"</f>
        <v>(3)</v>
      </c>
      <c r="S127" s="49"/>
      <c r="W127" s="223" t="str">
        <f>t</f>
        <v>TVO</v>
      </c>
      <c r="X127" s="225">
        <v>5930</v>
      </c>
      <c r="Y127" s="217">
        <v>9052</v>
      </c>
      <c r="Z127" s="32">
        <v>9301</v>
      </c>
      <c r="AA127" s="18"/>
      <c r="AB127" s="19"/>
      <c r="AC127" s="20"/>
      <c r="AD127" s="112"/>
      <c r="AE127" s="31"/>
      <c r="AF127" s="31"/>
      <c r="AG127" s="31"/>
      <c r="AH127" s="31"/>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31"/>
    </row>
    <row r="128" spans="1:59" ht="12.75">
      <c r="A128" s="62">
        <v>53</v>
      </c>
      <c r="B128" s="74" t="s">
        <v>1237</v>
      </c>
      <c r="C128" s="99" t="str">
        <f>"- - - - destinées à subir une transformation chimique par un traitement autre  "</f>
        <v>- - - - destinées à subir une transformation chimique par un traitement autre  </v>
      </c>
      <c r="D128" s="81"/>
      <c r="E128" s="432"/>
      <c r="F128" s="140"/>
      <c r="G128" s="372"/>
      <c r="H128" s="373"/>
      <c r="I128" s="64"/>
      <c r="J128" s="64"/>
      <c r="K128" s="139"/>
      <c r="L128" s="139"/>
      <c r="M128" s="248"/>
      <c r="N128" s="638"/>
      <c r="O128" s="655"/>
      <c r="P128" s="248"/>
      <c r="Q128" s="186"/>
      <c r="R128" s="186"/>
      <c r="S128" s="296"/>
      <c r="T128" s="220"/>
      <c r="U128" s="221"/>
      <c r="V128" s="222"/>
      <c r="W128" s="223"/>
      <c r="X128" s="223"/>
      <c r="Y128" s="32"/>
      <c r="Z128" s="32"/>
      <c r="AA128" s="217"/>
      <c r="AB128" s="19"/>
      <c r="AC128" s="20"/>
      <c r="AD128" s="112"/>
      <c r="AE128" s="31"/>
      <c r="AF128" s="31"/>
      <c r="AG128" s="31"/>
      <c r="AH128" s="31"/>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31"/>
    </row>
    <row r="129" spans="1:59" ht="12.75">
      <c r="A129" s="62"/>
      <c r="B129" s="74"/>
      <c r="C129" s="99" t="s">
        <v>1238</v>
      </c>
      <c r="D129" s="81" t="s">
        <v>1239</v>
      </c>
      <c r="E129" s="432" t="s">
        <v>1240</v>
      </c>
      <c r="F129" s="140"/>
      <c r="G129" s="372" t="s">
        <v>1241</v>
      </c>
      <c r="H129" s="109" t="s">
        <v>1242</v>
      </c>
      <c r="I129" s="64" t="str">
        <f>R</f>
        <v>Réelle</v>
      </c>
      <c r="J129" s="64" t="s">
        <v>1243</v>
      </c>
      <c r="K129" s="202" t="s">
        <v>1244</v>
      </c>
      <c r="L129" s="139"/>
      <c r="M129" s="248" t="str">
        <f>"(3)"</f>
        <v>(3)</v>
      </c>
      <c r="N129" s="638"/>
      <c r="O129" s="655" t="str">
        <f>P</f>
        <v>. . .</v>
      </c>
      <c r="P129" s="248" t="str">
        <f>"(3)"</f>
        <v>(3)</v>
      </c>
      <c r="Q129" s="186" t="str">
        <f>"(3)"</f>
        <v>(3)</v>
      </c>
      <c r="R129" s="186" t="str">
        <f>"(3)"</f>
        <v>(3)</v>
      </c>
      <c r="S129" s="156"/>
      <c r="W129" s="223" t="str">
        <f>t</f>
        <v>TVO</v>
      </c>
      <c r="X129" s="225">
        <v>5930</v>
      </c>
      <c r="Y129" s="32"/>
      <c r="Z129" s="32"/>
      <c r="AA129" s="217"/>
      <c r="AB129" s="19"/>
      <c r="AC129" s="20"/>
      <c r="AD129" s="112"/>
      <c r="AE129" s="31"/>
      <c r="AF129" s="31"/>
      <c r="AG129" s="31"/>
      <c r="AH129" s="31"/>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31"/>
    </row>
    <row r="130" spans="1:59" ht="12.75">
      <c r="A130" s="62"/>
      <c r="B130" s="74"/>
      <c r="C130" s="137" t="s">
        <v>1245</v>
      </c>
      <c r="D130" s="81"/>
      <c r="E130" s="432"/>
      <c r="F130" s="140"/>
      <c r="G130" s="372"/>
      <c r="H130" s="373"/>
      <c r="I130" s="532"/>
      <c r="J130" s="64"/>
      <c r="K130" s="201"/>
      <c r="L130" s="139"/>
      <c r="M130" s="248"/>
      <c r="N130" s="638"/>
      <c r="O130" s="655"/>
      <c r="P130" s="148"/>
      <c r="Q130" s="186"/>
      <c r="R130" s="186"/>
      <c r="S130" s="363"/>
      <c r="T130" s="70"/>
      <c r="U130" s="71"/>
      <c r="V130" s="72"/>
      <c r="W130" s="73"/>
      <c r="X130" s="73"/>
      <c r="Y130" s="141"/>
      <c r="Z130" s="141"/>
      <c r="AA130" s="32"/>
      <c r="AB130" s="19"/>
      <c r="AC130" s="20"/>
      <c r="AD130" s="112"/>
      <c r="AE130" s="31"/>
      <c r="AF130" s="31"/>
      <c r="AG130" s="31"/>
      <c r="AH130" s="31"/>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31"/>
    </row>
    <row r="131" spans="1:59" ht="12.75">
      <c r="A131" s="62"/>
      <c r="B131" s="74"/>
      <c r="C131" s="137" t="s">
        <v>1246</v>
      </c>
      <c r="D131" s="81"/>
      <c r="E131" s="432"/>
      <c r="F131" s="140"/>
      <c r="G131" s="372"/>
      <c r="H131" s="373"/>
      <c r="I131" s="64"/>
      <c r="J131" s="64"/>
      <c r="K131" s="139"/>
      <c r="L131" s="139"/>
      <c r="M131" s="248"/>
      <c r="N131" s="638"/>
      <c r="O131" s="655"/>
      <c r="P131" s="148"/>
      <c r="Q131" s="186"/>
      <c r="R131" s="186"/>
      <c r="S131" s="224"/>
      <c r="T131" s="70"/>
      <c r="U131" s="71"/>
      <c r="V131" s="72"/>
      <c r="W131" s="73"/>
      <c r="X131" s="73"/>
      <c r="Y131" s="18"/>
      <c r="Z131" s="18"/>
      <c r="AA131" s="32"/>
      <c r="AB131" s="19"/>
      <c r="AC131" s="20"/>
      <c r="AD131" s="112"/>
      <c r="AE131" s="31"/>
      <c r="AF131" s="31"/>
      <c r="AG131" s="31"/>
      <c r="AH131" s="31"/>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31"/>
    </row>
    <row r="132" spans="1:59" ht="12.75">
      <c r="A132" s="62"/>
      <c r="B132" s="74"/>
      <c r="C132" s="137" t="s">
        <v>1247</v>
      </c>
      <c r="D132" s="81"/>
      <c r="E132" s="432"/>
      <c r="F132" s="140"/>
      <c r="G132" s="372"/>
      <c r="H132" s="373"/>
      <c r="I132" s="64"/>
      <c r="J132" s="64"/>
      <c r="K132" s="139"/>
      <c r="L132" s="139"/>
      <c r="M132" s="248"/>
      <c r="N132" s="638"/>
      <c r="O132" s="655"/>
      <c r="P132" s="148"/>
      <c r="Q132" s="186"/>
      <c r="R132" s="186"/>
      <c r="S132" s="224"/>
      <c r="T132" s="149"/>
      <c r="U132" s="150"/>
      <c r="V132" s="151"/>
      <c r="W132" s="152"/>
      <c r="X132" s="152"/>
      <c r="Y132" s="18"/>
      <c r="Z132" s="18"/>
      <c r="AA132" s="32"/>
      <c r="AB132" s="19"/>
      <c r="AC132" s="20"/>
      <c r="AD132" s="112"/>
      <c r="AE132" s="31"/>
      <c r="AF132" s="31"/>
      <c r="AG132" s="31"/>
      <c r="AH132" s="31"/>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31"/>
    </row>
    <row r="133" spans="1:59" ht="12.75">
      <c r="A133" s="62">
        <v>54</v>
      </c>
      <c r="B133" s="74" t="s">
        <v>1248</v>
      </c>
      <c r="C133" s="176" t="s">
        <v>1249</v>
      </c>
      <c r="D133" s="81"/>
      <c r="E133" s="432"/>
      <c r="F133" s="140"/>
      <c r="G133" s="372"/>
      <c r="H133" s="373"/>
      <c r="I133" s="64"/>
      <c r="J133" s="64"/>
      <c r="K133" s="139"/>
      <c r="L133" s="139"/>
      <c r="M133" s="248"/>
      <c r="N133" s="638"/>
      <c r="O133" s="655"/>
      <c r="P133" s="654"/>
      <c r="Q133" s="186"/>
      <c r="R133" s="186"/>
      <c r="S133" s="165"/>
      <c r="T133" s="50"/>
      <c r="U133" s="51"/>
      <c r="V133" s="52"/>
      <c r="W133" s="53"/>
      <c r="X133" s="53"/>
      <c r="Y133" s="18">
        <v>9050</v>
      </c>
      <c r="Z133" s="18">
        <v>9306</v>
      </c>
      <c r="AA133" s="141">
        <v>9301</v>
      </c>
      <c r="AB133" s="19"/>
      <c r="AC133" s="20"/>
      <c r="AD133" s="374"/>
      <c r="AE133" s="63"/>
      <c r="AF133" s="375"/>
      <c r="AG133" s="375"/>
      <c r="AH133" s="375"/>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31"/>
    </row>
    <row r="134" spans="1:59" ht="12.75">
      <c r="A134" s="62"/>
      <c r="B134" s="74"/>
      <c r="C134" s="176" t="s">
        <v>1250</v>
      </c>
      <c r="D134" s="81"/>
      <c r="E134" s="432"/>
      <c r="F134" s="140"/>
      <c r="G134" s="372"/>
      <c r="H134" s="373"/>
      <c r="I134" s="532"/>
      <c r="J134" s="64"/>
      <c r="K134" s="201"/>
      <c r="L134" s="139"/>
      <c r="M134" s="248"/>
      <c r="N134" s="638"/>
      <c r="O134" s="655"/>
      <c r="P134" s="234"/>
      <c r="Q134" s="186"/>
      <c r="R134" s="186"/>
      <c r="S134" s="69"/>
      <c r="T134" s="50"/>
      <c r="U134" s="51"/>
      <c r="V134" s="52"/>
      <c r="W134" s="53"/>
      <c r="X134" s="53"/>
      <c r="Y134" s="18">
        <v>9055</v>
      </c>
      <c r="Z134" s="18">
        <v>9301</v>
      </c>
      <c r="AA134" s="18"/>
      <c r="AB134" s="19"/>
      <c r="AC134" s="20"/>
      <c r="AD134" s="112"/>
      <c r="AE134" s="31"/>
      <c r="AF134" s="31"/>
      <c r="AG134" s="31"/>
      <c r="AH134" s="31"/>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31"/>
    </row>
    <row r="135" spans="1:59" ht="12.75">
      <c r="A135" s="62"/>
      <c r="B135" s="74"/>
      <c r="C135" s="176" t="s">
        <v>1251</v>
      </c>
      <c r="D135" s="81" t="s">
        <v>1252</v>
      </c>
      <c r="E135" s="432">
        <f>TEChuilemoyenne</f>
        <v>0.047</v>
      </c>
      <c r="F135" s="140"/>
      <c r="G135" s="372" t="s">
        <v>1253</v>
      </c>
      <c r="H135" s="373" t="s">
        <v>1254</v>
      </c>
      <c r="I135" s="532">
        <f>VFCB</f>
        <v>37.75</v>
      </c>
      <c r="J135" s="64" t="s">
        <v>1255</v>
      </c>
      <c r="K135" s="201">
        <f>ROUND(I135*TEChuilemoyenne,2)</f>
        <v>1.77</v>
      </c>
      <c r="L135" s="139"/>
      <c r="M135" s="248" t="s">
        <v>1256</v>
      </c>
      <c r="N135" s="638"/>
      <c r="O135" s="655" t="str">
        <f>P</f>
        <v>. . .</v>
      </c>
      <c r="P135" s="234" t="str">
        <f>"(18)"</f>
        <v>(18)</v>
      </c>
      <c r="Q135" s="186">
        <f>TVACARBUAERONEFmetro</f>
        <v>7.399</v>
      </c>
      <c r="R135" s="186">
        <f>TVACARBUAERONEFcorse</f>
        <v>4.9075</v>
      </c>
      <c r="S135" s="165"/>
      <c r="V135" s="52">
        <v>5729</v>
      </c>
      <c r="W135" s="185">
        <v>5901</v>
      </c>
      <c r="X135" s="185"/>
      <c r="Y135" s="18">
        <v>4012</v>
      </c>
      <c r="Z135" s="18">
        <v>9301</v>
      </c>
      <c r="AA135" s="18"/>
      <c r="AB135" s="19"/>
      <c r="AC135" s="20"/>
      <c r="AD135" s="21"/>
      <c r="AE135" s="22"/>
      <c r="AF135" s="22"/>
      <c r="AG135" s="22"/>
      <c r="AH135" s="31"/>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31"/>
    </row>
    <row r="136" spans="1:59" ht="12.75">
      <c r="A136" s="62">
        <v>55</v>
      </c>
      <c r="B136" s="74" t="s">
        <v>1257</v>
      </c>
      <c r="C136" s="137" t="s">
        <v>1258</v>
      </c>
      <c r="D136" s="81" t="s">
        <v>1259</v>
      </c>
      <c r="E136" s="432">
        <f>TEChuilemoyenne</f>
        <v>0.047</v>
      </c>
      <c r="F136" s="140"/>
      <c r="G136" s="372" t="s">
        <v>1260</v>
      </c>
      <c r="H136" s="373" t="s">
        <v>1261</v>
      </c>
      <c r="I136" s="532">
        <f>VFCB</f>
        <v>37.75</v>
      </c>
      <c r="J136" s="64" t="s">
        <v>1262</v>
      </c>
      <c r="K136" s="201">
        <f>ROUND(I136*TEChuilemoyenne,2)</f>
        <v>1.77</v>
      </c>
      <c r="L136" s="139"/>
      <c r="M136" s="248">
        <f>TICBSCE</f>
        <v>2.54</v>
      </c>
      <c r="N136" s="638"/>
      <c r="O136" s="655" t="str">
        <f>P</f>
        <v>. . .</v>
      </c>
      <c r="P136" s="234" t="str">
        <f>"(18)"</f>
        <v>(18)</v>
      </c>
      <c r="Q136" s="186">
        <f>SUM(I136:P136)*19.6%</f>
        <v>8.24376</v>
      </c>
      <c r="R136" s="186">
        <f>SUM(I136:P136)*13%</f>
        <v>5.4678</v>
      </c>
      <c r="S136" s="156"/>
      <c r="T136" s="50">
        <v>5707</v>
      </c>
      <c r="U136" s="51"/>
      <c r="V136" s="52">
        <v>5729</v>
      </c>
      <c r="W136" s="185">
        <v>5919</v>
      </c>
      <c r="X136" s="185"/>
      <c r="Y136" s="18">
        <v>9306</v>
      </c>
      <c r="Z136" s="18">
        <v>9301</v>
      </c>
      <c r="AA136" s="18"/>
      <c r="AB136" s="19"/>
      <c r="AC136" s="20"/>
      <c r="AD136" s="375"/>
      <c r="AE136" s="22"/>
      <c r="AF136" s="22"/>
      <c r="AG136" s="22"/>
      <c r="AH136" s="31"/>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31"/>
    </row>
    <row r="137" spans="1:59" ht="12.75">
      <c r="A137" s="62">
        <v>56</v>
      </c>
      <c r="B137" s="74" t="s">
        <v>1263</v>
      </c>
      <c r="C137" s="176" t="s">
        <v>1264</v>
      </c>
      <c r="D137" s="81" t="s">
        <v>1265</v>
      </c>
      <c r="E137" s="432">
        <f>TEChuilemoyenne</f>
        <v>0.047</v>
      </c>
      <c r="F137" s="140"/>
      <c r="G137" s="372" t="s">
        <v>1266</v>
      </c>
      <c r="H137" s="373" t="s">
        <v>1267</v>
      </c>
      <c r="I137" s="532">
        <f>VFCB</f>
        <v>37.75</v>
      </c>
      <c r="J137" s="64" t="s">
        <v>1268</v>
      </c>
      <c r="K137" s="201">
        <f>ROUND(I137*TEChuilemoyenne,2)</f>
        <v>1.77</v>
      </c>
      <c r="L137" s="139"/>
      <c r="M137" s="248" t="s">
        <v>1269</v>
      </c>
      <c r="N137" s="638"/>
      <c r="O137" s="655" t="str">
        <f>P</f>
        <v>. . .</v>
      </c>
      <c r="P137" s="234" t="str">
        <f>P</f>
        <v>. . .</v>
      </c>
      <c r="Q137" s="186">
        <f>SUM(I137:P137)*19.6%</f>
        <v>7.745920000000001</v>
      </c>
      <c r="R137" s="186">
        <f>SUM(I137:P137)*13%</f>
        <v>5.137600000000001</v>
      </c>
      <c r="S137" s="49"/>
      <c r="W137" s="185">
        <v>5946</v>
      </c>
      <c r="X137" s="185"/>
      <c r="Y137" s="18"/>
      <c r="Z137" s="18"/>
      <c r="AA137" s="18"/>
      <c r="AB137" s="19"/>
      <c r="AC137" s="20"/>
      <c r="AD137" s="21"/>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31"/>
    </row>
    <row r="138" spans="1:59" ht="12.75">
      <c r="A138" s="62">
        <v>57</v>
      </c>
      <c r="B138" s="74" t="s">
        <v>1270</v>
      </c>
      <c r="C138" s="137" t="s">
        <v>1271</v>
      </c>
      <c r="D138" s="81" t="s">
        <v>1272</v>
      </c>
      <c r="E138" s="432">
        <f>TEChuilemoyenne</f>
        <v>0.047</v>
      </c>
      <c r="F138" s="140"/>
      <c r="G138" s="376" t="s">
        <v>1273</v>
      </c>
      <c r="H138" s="74" t="s">
        <v>1274</v>
      </c>
      <c r="I138" s="532">
        <f>VFCB</f>
        <v>37.75</v>
      </c>
      <c r="J138" s="64" t="s">
        <v>1275</v>
      </c>
      <c r="K138" s="184">
        <f>ROUND(I138*TEChuilemoyenne,2)</f>
        <v>1.77</v>
      </c>
      <c r="L138" s="138"/>
      <c r="M138" s="248">
        <f>TIGO</f>
        <v>41.69</v>
      </c>
      <c r="N138" s="638"/>
      <c r="O138" s="655" t="str">
        <f>P</f>
        <v>. . .</v>
      </c>
      <c r="P138" s="234" t="str">
        <f>"(18)"</f>
        <v>(18)</v>
      </c>
      <c r="Q138" s="186">
        <f>SUM(I138:P138)*19.6%</f>
        <v>15.917160000000003</v>
      </c>
      <c r="R138" s="186">
        <f>SUM(I138:P138)*13%</f>
        <v>10.557300000000001</v>
      </c>
      <c r="S138" s="49"/>
      <c r="T138" s="50">
        <v>5712</v>
      </c>
      <c r="U138" s="51"/>
      <c r="V138" s="52">
        <v>5729</v>
      </c>
      <c r="W138" s="185">
        <v>5950</v>
      </c>
      <c r="X138" s="185"/>
      <c r="Y138" s="18"/>
      <c r="Z138" s="18"/>
      <c r="AA138" s="18"/>
      <c r="AB138" s="19"/>
      <c r="AC138" s="20"/>
      <c r="AD138" s="21"/>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31"/>
    </row>
    <row r="139" spans="1:59" ht="12.75">
      <c r="A139" s="62"/>
      <c r="B139" s="74"/>
      <c r="C139" s="137" t="s">
        <v>1276</v>
      </c>
      <c r="D139" s="669"/>
      <c r="E139" s="432"/>
      <c r="F139" s="140"/>
      <c r="G139" s="372"/>
      <c r="H139" s="373"/>
      <c r="I139" s="532"/>
      <c r="J139" s="64"/>
      <c r="K139" s="201"/>
      <c r="L139" s="139"/>
      <c r="M139" s="248"/>
      <c r="N139" s="638"/>
      <c r="O139" s="655"/>
      <c r="P139" s="654"/>
      <c r="Q139" s="186"/>
      <c r="R139" s="186"/>
      <c r="S139" s="49"/>
      <c r="T139" s="50"/>
      <c r="U139" s="51"/>
      <c r="V139" s="52"/>
      <c r="W139" s="53"/>
      <c r="X139" s="53"/>
      <c r="Y139" s="141">
        <v>4013</v>
      </c>
      <c r="Z139" s="141">
        <v>9943</v>
      </c>
      <c r="AA139" s="18">
        <v>9301</v>
      </c>
      <c r="AB139" s="19"/>
      <c r="AC139" s="20"/>
      <c r="AD139" s="21"/>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31"/>
    </row>
    <row r="140" spans="1:59" ht="12.75">
      <c r="A140" s="62"/>
      <c r="B140" s="74"/>
      <c r="C140" s="137" t="s">
        <v>1277</v>
      </c>
      <c r="D140" s="669"/>
      <c r="E140" s="432"/>
      <c r="F140" s="140"/>
      <c r="G140" s="108"/>
      <c r="H140" s="373"/>
      <c r="I140" s="532"/>
      <c r="J140" s="64"/>
      <c r="K140" s="201"/>
      <c r="L140" s="139"/>
      <c r="M140" s="248"/>
      <c r="N140" s="638"/>
      <c r="O140" s="655"/>
      <c r="P140" s="234"/>
      <c r="Q140" s="186"/>
      <c r="R140" s="186"/>
      <c r="S140" s="363"/>
      <c r="T140" s="50"/>
      <c r="U140" s="51"/>
      <c r="V140" s="52"/>
      <c r="W140" s="53"/>
      <c r="X140" s="53"/>
      <c r="Y140" s="18">
        <v>4013</v>
      </c>
      <c r="Z140" s="18">
        <v>9301</v>
      </c>
      <c r="AA140" s="18"/>
      <c r="AB140" s="19"/>
      <c r="AC140" s="20"/>
      <c r="AD140" s="21"/>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31"/>
    </row>
    <row r="141" spans="1:59" ht="12.75">
      <c r="A141" s="62">
        <v>58</v>
      </c>
      <c r="B141" s="74" t="s">
        <v>1278</v>
      </c>
      <c r="C141" s="176" t="s">
        <v>1279</v>
      </c>
      <c r="D141" s="81" t="s">
        <v>1280</v>
      </c>
      <c r="E141" s="432">
        <f>TEChuilemoyenne</f>
        <v>0.047</v>
      </c>
      <c r="F141" s="140"/>
      <c r="G141" s="108" t="str">
        <f>P</f>
        <v>. . .</v>
      </c>
      <c r="H141" s="373" t="s">
        <v>1281</v>
      </c>
      <c r="I141" s="532">
        <f>VFPL</f>
        <v>37.75</v>
      </c>
      <c r="J141" s="64" t="s">
        <v>1282</v>
      </c>
      <c r="K141" s="201">
        <f>ROUND(I141*TEChuilemoyenne,2)</f>
        <v>1.77</v>
      </c>
      <c r="L141" s="139"/>
      <c r="M141" s="248">
        <f>TIFD</f>
        <v>5.66</v>
      </c>
      <c r="N141" s="638"/>
      <c r="O141" s="655" t="str">
        <f>P</f>
        <v>. . .</v>
      </c>
      <c r="P141" s="234" t="str">
        <f>"(18)"</f>
        <v>(18)</v>
      </c>
      <c r="Q141" s="186">
        <f>TVALAMPANTCOMBMETRO</f>
        <v>8.855280000000002</v>
      </c>
      <c r="R141" s="186">
        <f>TVALAMPANTCOMBCORSE</f>
        <v>5.873400000000001</v>
      </c>
      <c r="S141" s="363"/>
      <c r="T141" s="149">
        <v>5710</v>
      </c>
      <c r="U141" s="150"/>
      <c r="V141" s="151">
        <v>5732</v>
      </c>
      <c r="W141" s="157">
        <v>5921</v>
      </c>
      <c r="X141" s="157"/>
      <c r="Y141" s="18">
        <v>9306</v>
      </c>
      <c r="Z141" s="18">
        <v>9301</v>
      </c>
      <c r="AA141" s="18"/>
      <c r="AB141" s="19"/>
      <c r="AC141" s="20"/>
      <c r="AD141" s="21"/>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31"/>
    </row>
    <row r="142" spans="1:59" ht="12.75">
      <c r="A142" s="62">
        <v>59</v>
      </c>
      <c r="B142" s="74" t="s">
        <v>1283</v>
      </c>
      <c r="C142" s="176" t="s">
        <v>1284</v>
      </c>
      <c r="D142" s="81" t="s">
        <v>1285</v>
      </c>
      <c r="E142" s="432">
        <f>TEChuilemoyenne</f>
        <v>0.047</v>
      </c>
      <c r="F142" s="140"/>
      <c r="G142" s="108" t="str">
        <f>P</f>
        <v>. . .</v>
      </c>
      <c r="H142" s="373" t="s">
        <v>1286</v>
      </c>
      <c r="I142" s="532">
        <f>VFPL</f>
        <v>37.75</v>
      </c>
      <c r="J142" s="64" t="s">
        <v>1287</v>
      </c>
      <c r="K142" s="201">
        <f>ROUND(I142*TEChuilemoyenne,2)</f>
        <v>1.77</v>
      </c>
      <c r="L142" s="139"/>
      <c r="M142" s="248">
        <f>TIFD</f>
        <v>5.66</v>
      </c>
      <c r="N142" s="638"/>
      <c r="O142" s="655" t="str">
        <f>P</f>
        <v>. . .</v>
      </c>
      <c r="P142" s="234" t="str">
        <f>"(18)"</f>
        <v>(18)</v>
      </c>
      <c r="Q142" s="186">
        <f>SUM(I142:P142)*19.6%</f>
        <v>8.855280000000002</v>
      </c>
      <c r="R142" s="186">
        <f>SUM(I142:P142)*13%</f>
        <v>5.873400000000001</v>
      </c>
      <c r="S142" s="363"/>
      <c r="T142" s="50">
        <v>5710</v>
      </c>
      <c r="U142" s="51"/>
      <c r="V142" s="52">
        <v>5732</v>
      </c>
      <c r="W142" s="185">
        <v>5921</v>
      </c>
      <c r="X142" s="185"/>
      <c r="Y142" s="18">
        <v>4012</v>
      </c>
      <c r="Z142" s="18">
        <v>9301</v>
      </c>
      <c r="AA142" s="141"/>
      <c r="AB142" s="19"/>
      <c r="AC142" s="20"/>
      <c r="AD142" s="21"/>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31"/>
    </row>
    <row r="143" spans="1:59" ht="12.75">
      <c r="A143" s="62">
        <v>60</v>
      </c>
      <c r="B143" s="74" t="s">
        <v>1288</v>
      </c>
      <c r="C143" s="137" t="s">
        <v>1289</v>
      </c>
      <c r="D143" s="81" t="s">
        <v>1290</v>
      </c>
      <c r="E143" s="432">
        <f>TEChuilemoyenne</f>
        <v>0.047</v>
      </c>
      <c r="F143" s="140"/>
      <c r="G143" s="183" t="str">
        <f>P</f>
        <v>. . .</v>
      </c>
      <c r="H143" s="74" t="s">
        <v>1291</v>
      </c>
      <c r="I143" s="532">
        <f>VFPL</f>
        <v>37.75</v>
      </c>
      <c r="J143" s="64" t="s">
        <v>1292</v>
      </c>
      <c r="K143" s="184">
        <f>ROUND(I143*TEChuilemoyenne,2)</f>
        <v>1.77</v>
      </c>
      <c r="L143" s="138"/>
      <c r="M143" s="248">
        <f>TIGO</f>
        <v>41.69</v>
      </c>
      <c r="N143" s="639"/>
      <c r="O143" s="655" t="str">
        <f>P</f>
        <v>. . .</v>
      </c>
      <c r="P143" s="234" t="str">
        <f>"(18)"</f>
        <v>(18)</v>
      </c>
      <c r="Q143" s="186">
        <f>SUM(I143:P143)*19.6%</f>
        <v>15.917160000000003</v>
      </c>
      <c r="R143" s="186">
        <f>SUM(I143:P143)*13%</f>
        <v>10.557300000000001</v>
      </c>
      <c r="S143" s="363"/>
      <c r="T143" s="50">
        <v>5712</v>
      </c>
      <c r="U143" s="51"/>
      <c r="V143" s="52">
        <v>5732</v>
      </c>
      <c r="W143" s="185">
        <v>5925</v>
      </c>
      <c r="X143" s="185"/>
      <c r="Y143" s="18"/>
      <c r="Z143" s="18"/>
      <c r="AA143" s="18"/>
      <c r="AB143" s="19"/>
      <c r="AC143" s="20"/>
      <c r="AD143" s="21"/>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31"/>
    </row>
    <row r="144" spans="1:59" ht="12.75">
      <c r="A144" s="62">
        <v>61</v>
      </c>
      <c r="B144" s="74" t="s">
        <v>1293</v>
      </c>
      <c r="C144" s="137" t="s">
        <v>1294</v>
      </c>
      <c r="D144" s="81" t="s">
        <v>1295</v>
      </c>
      <c r="E144" s="432">
        <f>TEChuilemoyenne</f>
        <v>0.047</v>
      </c>
      <c r="F144" s="140"/>
      <c r="G144" s="108" t="str">
        <f>P</f>
        <v>. . .</v>
      </c>
      <c r="H144" s="373" t="s">
        <v>1296</v>
      </c>
      <c r="I144" s="532">
        <f>VFPL</f>
        <v>37.75</v>
      </c>
      <c r="J144" s="64" t="s">
        <v>1297</v>
      </c>
      <c r="K144" s="201">
        <f>ROUND(I144*TEChuilemoyenne,2)</f>
        <v>1.77</v>
      </c>
      <c r="L144" s="139"/>
      <c r="M144" s="248" t="s">
        <v>1298</v>
      </c>
      <c r="N144" s="638"/>
      <c r="O144" s="655" t="str">
        <f>P</f>
        <v>. . .</v>
      </c>
      <c r="P144" s="234" t="str">
        <f>P</f>
        <v>. . .</v>
      </c>
      <c r="Q144" s="186">
        <f>SUM(I144:P144)*19.6%</f>
        <v>7.745920000000001</v>
      </c>
      <c r="R144" s="186">
        <f>SUM(I144:P144)*13%</f>
        <v>5.137600000000001</v>
      </c>
      <c r="S144" s="363"/>
      <c r="W144" s="185">
        <v>5910</v>
      </c>
      <c r="X144" s="185"/>
      <c r="Y144" s="18">
        <v>9348</v>
      </c>
      <c r="Z144" s="18">
        <v>9302</v>
      </c>
      <c r="AA144" s="18"/>
      <c r="AB144" s="19"/>
      <c r="AC144" s="20"/>
      <c r="AD144" s="21"/>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31"/>
    </row>
    <row r="145" spans="1:59" ht="12.75">
      <c r="A145" s="62"/>
      <c r="B145" s="74"/>
      <c r="C145" s="137" t="s">
        <v>1299</v>
      </c>
      <c r="D145" s="669"/>
      <c r="E145" s="432"/>
      <c r="F145" s="140"/>
      <c r="G145" s="372"/>
      <c r="H145" s="373"/>
      <c r="I145" s="64"/>
      <c r="J145" s="64"/>
      <c r="K145" s="139"/>
      <c r="L145" s="139"/>
      <c r="M145" s="248"/>
      <c r="N145" s="638"/>
      <c r="O145" s="655"/>
      <c r="P145" s="148"/>
      <c r="Q145" s="186"/>
      <c r="R145" s="186"/>
      <c r="S145" s="156"/>
      <c r="T145" s="50"/>
      <c r="U145" s="51"/>
      <c r="V145" s="52"/>
      <c r="W145" s="53"/>
      <c r="X145" s="53"/>
      <c r="Y145" s="18">
        <v>4012</v>
      </c>
      <c r="Z145" s="18">
        <v>9302</v>
      </c>
      <c r="AA145" s="18"/>
      <c r="AB145" s="19"/>
      <c r="AC145" s="20"/>
      <c r="AD145" s="21"/>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31"/>
    </row>
    <row r="146" spans="1:59" ht="12.75">
      <c r="A146" s="62">
        <v>62</v>
      </c>
      <c r="B146" s="74" t="s">
        <v>1300</v>
      </c>
      <c r="C146" s="137" t="s">
        <v>1301</v>
      </c>
      <c r="D146" s="81" t="s">
        <v>1302</v>
      </c>
      <c r="E146" s="432">
        <f>TEChuilemoyenne</f>
        <v>0.047</v>
      </c>
      <c r="F146" s="140"/>
      <c r="G146" s="183" t="str">
        <f>P</f>
        <v>. . .</v>
      </c>
      <c r="H146" s="74" t="s">
        <v>1303</v>
      </c>
      <c r="I146" s="532">
        <f>VFPL</f>
        <v>37.75</v>
      </c>
      <c r="J146" s="64" t="s">
        <v>1304</v>
      </c>
      <c r="K146" s="184">
        <f>ROUND(I146*TEChuilemoyenne,2)</f>
        <v>1.77</v>
      </c>
      <c r="L146" s="138"/>
      <c r="M146" s="248">
        <f>TIGO</f>
        <v>41.69</v>
      </c>
      <c r="N146" s="639"/>
      <c r="O146" s="655" t="str">
        <f>P</f>
        <v>. . .</v>
      </c>
      <c r="P146" s="234" t="str">
        <f>P</f>
        <v>. . .</v>
      </c>
      <c r="Q146" s="186">
        <f>TVAPLMETRO</f>
        <v>15.917160000000003</v>
      </c>
      <c r="R146" s="186">
        <f>TVAPLCORSE</f>
        <v>10.557300000000001</v>
      </c>
      <c r="S146" s="363"/>
      <c r="T146" s="50">
        <v>5712</v>
      </c>
      <c r="U146" s="51"/>
      <c r="W146" s="185">
        <v>5922</v>
      </c>
      <c r="X146" s="185"/>
      <c r="Y146" s="315"/>
      <c r="Z146" s="315"/>
      <c r="AA146" s="18"/>
      <c r="AB146" s="19"/>
      <c r="AC146" s="20"/>
      <c r="AD146" s="21"/>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31"/>
    </row>
    <row r="147" spans="1:59" ht="13.5" thickBot="1">
      <c r="A147" s="187">
        <v>63</v>
      </c>
      <c r="B147" s="188" t="s">
        <v>1305</v>
      </c>
      <c r="C147" s="377" t="s">
        <v>1306</v>
      </c>
      <c r="D147" s="674" t="s">
        <v>1307</v>
      </c>
      <c r="E147" s="689">
        <f>TEChuilemoyenne</f>
        <v>0.047</v>
      </c>
      <c r="F147" s="690"/>
      <c r="G147" s="191" t="str">
        <f>P</f>
        <v>. . .</v>
      </c>
      <c r="H147" s="378" t="s">
        <v>1308</v>
      </c>
      <c r="I147" s="656">
        <f>VFPL</f>
        <v>37.75</v>
      </c>
      <c r="J147" s="708" t="s">
        <v>1309</v>
      </c>
      <c r="K147" s="342">
        <f>ROUND(I147*TEChuilemoyenne,2)</f>
        <v>1.77</v>
      </c>
      <c r="L147" s="193"/>
      <c r="M147" s="194" t="s">
        <v>1310</v>
      </c>
      <c r="N147" s="484"/>
      <c r="O147" s="656" t="str">
        <f>P</f>
        <v>. . .</v>
      </c>
      <c r="P147" s="644" t="str">
        <f>P</f>
        <v>. . .</v>
      </c>
      <c r="Q147" s="343">
        <f>TVAAUTRLAMPAUTR</f>
        <v>7.745920000000001</v>
      </c>
      <c r="R147" s="343">
        <f>SUM(I147:P147)*13%</f>
        <v>5.137600000000001</v>
      </c>
      <c r="S147" s="363"/>
      <c r="W147" s="185">
        <v>5910</v>
      </c>
      <c r="X147" s="185"/>
      <c r="Y147" s="18"/>
      <c r="Z147" s="18"/>
      <c r="AA147" s="18"/>
      <c r="AB147" s="19"/>
      <c r="AC147" s="20"/>
      <c r="AD147" s="21"/>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31"/>
    </row>
    <row r="148" spans="1:60" ht="12.75">
      <c r="A148" s="197"/>
      <c r="B148" s="198"/>
      <c r="C148" s="379" t="s">
        <v>1311</v>
      </c>
      <c r="D148" s="672"/>
      <c r="E148" s="691"/>
      <c r="F148" s="692"/>
      <c r="G148" s="79"/>
      <c r="H148" s="380"/>
      <c r="I148" s="657"/>
      <c r="J148" s="667"/>
      <c r="K148" s="381"/>
      <c r="L148" s="200"/>
      <c r="M148" s="248"/>
      <c r="N148" s="184"/>
      <c r="O148" s="532"/>
      <c r="P148" s="234"/>
      <c r="Q148" s="186"/>
      <c r="R148" s="186"/>
      <c r="S148" s="363"/>
      <c r="T148" s="50"/>
      <c r="U148" s="51"/>
      <c r="V148" s="52"/>
      <c r="W148" s="53"/>
      <c r="X148" s="53"/>
      <c r="Y148" s="217"/>
      <c r="Z148" s="217"/>
      <c r="AA148" s="18"/>
      <c r="AB148" s="250"/>
      <c r="AC148" s="20"/>
      <c r="AD148" s="20"/>
      <c r="AE148" s="63"/>
      <c r="AF148" s="74"/>
      <c r="AG148" s="74"/>
      <c r="AH148" s="74"/>
      <c r="AI148" s="206"/>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31"/>
    </row>
    <row r="149" spans="1:60" ht="12.75">
      <c r="A149" s="62"/>
      <c r="B149" s="212"/>
      <c r="C149" s="382"/>
      <c r="D149" s="673"/>
      <c r="E149" s="693"/>
      <c r="F149" s="694"/>
      <c r="G149" s="369"/>
      <c r="H149" s="370"/>
      <c r="I149" s="709"/>
      <c r="J149" s="709"/>
      <c r="K149" s="215"/>
      <c r="L149" s="215"/>
      <c r="M149" s="248"/>
      <c r="N149" s="346"/>
      <c r="O149" s="658"/>
      <c r="P149" s="216"/>
      <c r="Q149" s="186"/>
      <c r="R149" s="186"/>
      <c r="S149" s="49"/>
      <c r="T149" s="50"/>
      <c r="U149" s="51"/>
      <c r="V149" s="52"/>
      <c r="W149" s="53"/>
      <c r="X149" s="53"/>
      <c r="Y149" s="217">
        <v>9052</v>
      </c>
      <c r="Z149" s="217">
        <v>9301</v>
      </c>
      <c r="AA149" s="18"/>
      <c r="AB149" s="19"/>
      <c r="AC149" s="20"/>
      <c r="AD149" s="20"/>
      <c r="AE149" s="21"/>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31"/>
    </row>
    <row r="150" spans="1:59" ht="13.5">
      <c r="A150" s="62"/>
      <c r="B150" s="74"/>
      <c r="C150" s="137" t="s">
        <v>1312</v>
      </c>
      <c r="D150" s="675"/>
      <c r="E150" s="695"/>
      <c r="F150" s="240"/>
      <c r="G150" s="383"/>
      <c r="H150" s="384"/>
      <c r="I150" s="235"/>
      <c r="J150" s="235"/>
      <c r="K150" s="239"/>
      <c r="L150" s="239"/>
      <c r="M150" s="248"/>
      <c r="N150" s="31"/>
      <c r="O150" s="526"/>
      <c r="P150" s="240"/>
      <c r="Q150" s="186"/>
      <c r="R150" s="186"/>
      <c r="T150" s="220"/>
      <c r="U150" s="221"/>
      <c r="V150" s="222"/>
      <c r="W150" s="223"/>
      <c r="X150" s="223"/>
      <c r="AA150" s="18"/>
      <c r="AB150" s="19"/>
      <c r="AC150" s="20"/>
      <c r="AD150" s="21"/>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31"/>
    </row>
    <row r="151" spans="1:59" ht="12.75">
      <c r="A151" s="62">
        <v>64</v>
      </c>
      <c r="B151" s="74" t="s">
        <v>1313</v>
      </c>
      <c r="C151" s="137" t="s">
        <v>1314</v>
      </c>
      <c r="D151" s="669" t="s">
        <v>1315</v>
      </c>
      <c r="E151" s="432" t="s">
        <v>1316</v>
      </c>
      <c r="F151" s="140"/>
      <c r="G151" s="372" t="s">
        <v>1317</v>
      </c>
      <c r="H151" s="109" t="s">
        <v>1318</v>
      </c>
      <c r="I151" s="64" t="str">
        <f>R</f>
        <v>Réelle</v>
      </c>
      <c r="J151" s="64" t="s">
        <v>1319</v>
      </c>
      <c r="K151" s="202" t="s">
        <v>1320</v>
      </c>
      <c r="L151" s="139"/>
      <c r="M151" s="248" t="str">
        <f>"(3)"</f>
        <v>(3)</v>
      </c>
      <c r="N151" s="638"/>
      <c r="O151" s="655" t="str">
        <f>P</f>
        <v>. . .</v>
      </c>
      <c r="P151" s="234" t="str">
        <f>"(3)"</f>
        <v>(3)</v>
      </c>
      <c r="Q151" s="186" t="str">
        <f>"(3)"</f>
        <v>(3)</v>
      </c>
      <c r="R151" s="186" t="str">
        <f>"(3)"</f>
        <v>(3)</v>
      </c>
      <c r="S151" s="286"/>
      <c r="W151" s="223" t="str">
        <f>t</f>
        <v>TVO</v>
      </c>
      <c r="X151" s="223">
        <v>5930</v>
      </c>
      <c r="Y151" s="217">
        <v>9052</v>
      </c>
      <c r="Z151" s="32">
        <v>9301</v>
      </c>
      <c r="AA151" s="217"/>
      <c r="AB151" s="19"/>
      <c r="AC151" s="20"/>
      <c r="AD151" s="21"/>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31"/>
    </row>
    <row r="152" spans="1:59" ht="13.5">
      <c r="A152" s="62">
        <v>65</v>
      </c>
      <c r="B152" s="74" t="s">
        <v>1321</v>
      </c>
      <c r="C152" s="137" t="s">
        <v>1322</v>
      </c>
      <c r="D152" s="675"/>
      <c r="E152" s="695"/>
      <c r="F152" s="240"/>
      <c r="G152" s="383"/>
      <c r="H152" s="384"/>
      <c r="I152" s="235"/>
      <c r="J152" s="235"/>
      <c r="K152" s="239"/>
      <c r="L152" s="239"/>
      <c r="M152" s="248"/>
      <c r="N152" s="31"/>
      <c r="O152" s="526"/>
      <c r="P152" s="240"/>
      <c r="Q152" s="186"/>
      <c r="R152" s="186"/>
      <c r="S152" s="363"/>
      <c r="T152" s="311"/>
      <c r="U152" s="312"/>
      <c r="AA152" s="217"/>
      <c r="AB152" s="19"/>
      <c r="AC152" s="20"/>
      <c r="AD152" s="21"/>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31"/>
    </row>
    <row r="153" spans="1:59" ht="12.75">
      <c r="A153" s="62"/>
      <c r="B153" s="74"/>
      <c r="C153" s="137" t="s">
        <v>1323</v>
      </c>
      <c r="D153" s="669" t="s">
        <v>1324</v>
      </c>
      <c r="E153" s="432" t="s">
        <v>1325</v>
      </c>
      <c r="F153" s="140"/>
      <c r="G153" s="372" t="s">
        <v>1326</v>
      </c>
      <c r="H153" s="109" t="s">
        <v>1327</v>
      </c>
      <c r="I153" s="532" t="str">
        <f>R</f>
        <v>Réelle</v>
      </c>
      <c r="J153" s="64" t="s">
        <v>1328</v>
      </c>
      <c r="K153" s="202" t="s">
        <v>1329</v>
      </c>
      <c r="L153" s="139"/>
      <c r="M153" s="248" t="str">
        <f>"(3)"</f>
        <v>(3)</v>
      </c>
      <c r="N153" s="638"/>
      <c r="O153" s="655" t="str">
        <f>P</f>
        <v>. . .</v>
      </c>
      <c r="P153" s="234" t="str">
        <f>"(3)"</f>
        <v>(3)</v>
      </c>
      <c r="Q153" s="186" t="str">
        <f>"(3)"</f>
        <v>(3)</v>
      </c>
      <c r="R153" s="186" t="str">
        <f>"(3)"</f>
        <v>(3)</v>
      </c>
      <c r="S153" s="363"/>
      <c r="W153" s="223" t="str">
        <f>t</f>
        <v>TVO</v>
      </c>
      <c r="X153" s="223">
        <v>5930</v>
      </c>
      <c r="Y153" s="32"/>
      <c r="Z153" s="32"/>
      <c r="AB153" s="19"/>
      <c r="AC153" s="20"/>
      <c r="AD153" s="21"/>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31"/>
    </row>
    <row r="154" spans="1:59" ht="12.75">
      <c r="A154" s="62"/>
      <c r="B154" s="74"/>
      <c r="C154" s="137" t="s">
        <v>1330</v>
      </c>
      <c r="D154" s="669"/>
      <c r="E154" s="432"/>
      <c r="F154" s="140"/>
      <c r="G154" s="372"/>
      <c r="H154" s="109"/>
      <c r="I154" s="532"/>
      <c r="J154" s="64"/>
      <c r="K154" s="139"/>
      <c r="L154" s="139"/>
      <c r="M154" s="248"/>
      <c r="N154" s="638"/>
      <c r="O154" s="655"/>
      <c r="P154" s="654"/>
      <c r="Q154" s="186"/>
      <c r="R154" s="186"/>
      <c r="S154" s="224"/>
      <c r="T154" s="311"/>
      <c r="U154" s="312"/>
      <c r="Y154" s="217">
        <v>9306</v>
      </c>
      <c r="Z154" s="217">
        <v>9187</v>
      </c>
      <c r="AA154" s="32">
        <v>9301</v>
      </c>
      <c r="AB154" s="19"/>
      <c r="AC154" s="20"/>
      <c r="AD154" s="21"/>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31"/>
    </row>
    <row r="155" spans="1:59" ht="12.75">
      <c r="A155" s="62"/>
      <c r="B155" s="74"/>
      <c r="C155" s="137" t="s">
        <v>1331</v>
      </c>
      <c r="D155" s="669"/>
      <c r="E155" s="432"/>
      <c r="F155" s="140"/>
      <c r="G155" s="372"/>
      <c r="H155" s="109"/>
      <c r="I155" s="532"/>
      <c r="J155" s="64"/>
      <c r="K155" s="139"/>
      <c r="L155" s="139"/>
      <c r="M155" s="248"/>
      <c r="N155" s="638"/>
      <c r="O155" s="655"/>
      <c r="P155" s="654"/>
      <c r="Q155" s="186"/>
      <c r="R155" s="186"/>
      <c r="S155" s="224"/>
      <c r="T155" s="70"/>
      <c r="U155" s="71"/>
      <c r="V155" s="72"/>
      <c r="W155" s="73"/>
      <c r="X155" s="73"/>
      <c r="Y155" s="18"/>
      <c r="Z155" s="18"/>
      <c r="AA155" s="32"/>
      <c r="AB155" s="19"/>
      <c r="AC155" s="20"/>
      <c r="AD155" s="21"/>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31"/>
    </row>
    <row r="156" spans="1:59" ht="12.75">
      <c r="A156" s="289">
        <v>66</v>
      </c>
      <c r="B156" s="290" t="s">
        <v>1332</v>
      </c>
      <c r="C156" s="137" t="s">
        <v>1333</v>
      </c>
      <c r="D156" s="682" t="s">
        <v>1334</v>
      </c>
      <c r="E156" s="693" t="s">
        <v>1335</v>
      </c>
      <c r="F156" s="694"/>
      <c r="G156" s="369" t="s">
        <v>1336</v>
      </c>
      <c r="H156" s="214" t="s">
        <v>1337</v>
      </c>
      <c r="I156" s="658">
        <f>VFGO</f>
        <v>38.35</v>
      </c>
      <c r="J156" s="709" t="s">
        <v>1338</v>
      </c>
      <c r="K156" s="385" t="s">
        <v>1339</v>
      </c>
      <c r="L156" s="215"/>
      <c r="M156" s="248">
        <f>TIFD</f>
        <v>5.66</v>
      </c>
      <c r="N156" s="346"/>
      <c r="O156" s="658" t="str">
        <f>P</f>
        <v>. . .</v>
      </c>
      <c r="P156" s="650" t="str">
        <f>"(18)"</f>
        <v>(18)</v>
      </c>
      <c r="Q156" s="186">
        <f>SUM(I156:P156)*19.6%</f>
        <v>8.625960000000001</v>
      </c>
      <c r="R156" s="186">
        <f>SUM(I156:P156)*13%</f>
        <v>5.721300000000001</v>
      </c>
      <c r="S156" s="386"/>
      <c r="T156" s="220">
        <v>5711</v>
      </c>
      <c r="U156" s="221"/>
      <c r="V156" s="222">
        <v>5732</v>
      </c>
      <c r="W156" s="225">
        <v>5936</v>
      </c>
      <c r="X156" s="225"/>
      <c r="Y156" s="18">
        <v>4012</v>
      </c>
      <c r="Z156" s="18">
        <v>9301</v>
      </c>
      <c r="AA156" s="18"/>
      <c r="AB156" s="19"/>
      <c r="AC156" s="20"/>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31"/>
    </row>
    <row r="157" spans="1:59" ht="12.75">
      <c r="A157" s="62">
        <v>67</v>
      </c>
      <c r="B157" s="74" t="s">
        <v>1340</v>
      </c>
      <c r="C157" s="137" t="s">
        <v>1341</v>
      </c>
      <c r="D157" s="81"/>
      <c r="E157" s="432"/>
      <c r="F157" s="140"/>
      <c r="G157" s="372"/>
      <c r="H157" s="373"/>
      <c r="I157" s="532"/>
      <c r="J157" s="64"/>
      <c r="K157" s="201"/>
      <c r="L157" s="139"/>
      <c r="M157" s="248"/>
      <c r="N157" s="638"/>
      <c r="O157" s="655"/>
      <c r="P157" s="234"/>
      <c r="Q157" s="186"/>
      <c r="R157" s="186"/>
      <c r="S157" s="296"/>
      <c r="T157" s="50"/>
      <c r="U157" s="51"/>
      <c r="V157" s="52"/>
      <c r="W157" s="53"/>
      <c r="X157" s="53"/>
      <c r="Y157" s="18">
        <v>4012</v>
      </c>
      <c r="Z157" s="18">
        <v>9301</v>
      </c>
      <c r="AA157" s="18"/>
      <c r="AB157" s="19"/>
      <c r="AC157" s="20"/>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31"/>
    </row>
    <row r="158" spans="1:59" ht="12.75">
      <c r="A158" s="62"/>
      <c r="B158" s="74"/>
      <c r="C158" s="137" t="s">
        <v>1342</v>
      </c>
      <c r="D158" s="81" t="s">
        <v>1343</v>
      </c>
      <c r="E158" s="432" t="s">
        <v>1344</v>
      </c>
      <c r="F158" s="140"/>
      <c r="G158" s="372" t="s">
        <v>1345</v>
      </c>
      <c r="H158" s="373" t="s">
        <v>1346</v>
      </c>
      <c r="I158" s="532">
        <f>VFGO</f>
        <v>38.35</v>
      </c>
      <c r="J158" s="64" t="s">
        <v>1347</v>
      </c>
      <c r="K158" s="201" t="s">
        <v>1348</v>
      </c>
      <c r="L158" s="139"/>
      <c r="M158" s="248" t="s">
        <v>1349</v>
      </c>
      <c r="N158" s="638"/>
      <c r="O158" s="655" t="str">
        <f>P</f>
        <v>. . .</v>
      </c>
      <c r="P158" s="234" t="str">
        <f>P</f>
        <v>. . .</v>
      </c>
      <c r="Q158" s="186">
        <f>SUM(I158:P158)*19.6%</f>
        <v>7.5166</v>
      </c>
      <c r="R158" s="186">
        <f>SUM(I158:P158)*13%</f>
        <v>4.9855</v>
      </c>
      <c r="S158" s="165"/>
      <c r="W158" s="185">
        <v>5967</v>
      </c>
      <c r="X158" s="185"/>
      <c r="Y158" s="18">
        <v>5719</v>
      </c>
      <c r="Z158" s="18">
        <v>9306</v>
      </c>
      <c r="AA158" s="13">
        <v>9301</v>
      </c>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31"/>
    </row>
    <row r="159" spans="1:59" ht="13.5">
      <c r="A159" s="62">
        <v>68</v>
      </c>
      <c r="B159" s="74" t="s">
        <v>1350</v>
      </c>
      <c r="C159" s="137" t="s">
        <v>1351</v>
      </c>
      <c r="D159" s="81" t="s">
        <v>1352</v>
      </c>
      <c r="E159" s="432" t="s">
        <v>1353</v>
      </c>
      <c r="F159" s="140"/>
      <c r="G159" s="372" t="s">
        <v>1354</v>
      </c>
      <c r="H159" s="373" t="s">
        <v>1355</v>
      </c>
      <c r="I159" s="532">
        <f>VFGO</f>
        <v>38.35</v>
      </c>
      <c r="J159" s="64" t="s">
        <v>1356</v>
      </c>
      <c r="K159" s="201" t="s">
        <v>1357</v>
      </c>
      <c r="L159" s="139"/>
      <c r="M159" s="248" t="s">
        <v>1358</v>
      </c>
      <c r="N159" s="638"/>
      <c r="O159" s="655" t="str">
        <f>P</f>
        <v>. . .</v>
      </c>
      <c r="P159" s="234" t="str">
        <f>P</f>
        <v>. . .</v>
      </c>
      <c r="Q159" s="186">
        <f>TVAGAZOLAUTREMETRO</f>
        <v>7.5166</v>
      </c>
      <c r="R159" s="186">
        <f>TVAGAZOLAUTRECORSE</f>
        <v>4.9855</v>
      </c>
      <c r="S159" s="49"/>
      <c r="W159" s="185">
        <v>5967</v>
      </c>
      <c r="X159" s="185"/>
      <c r="Y159" s="18">
        <v>5719</v>
      </c>
      <c r="Z159" s="18">
        <v>9306</v>
      </c>
      <c r="AA159" s="18">
        <v>9301</v>
      </c>
      <c r="AB159" s="19"/>
      <c r="AC159" s="387"/>
      <c r="AD159" s="21"/>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31"/>
    </row>
    <row r="160" spans="1:59" ht="13.5">
      <c r="A160" s="62">
        <v>69</v>
      </c>
      <c r="B160" s="74" t="s">
        <v>1359</v>
      </c>
      <c r="C160" s="137" t="s">
        <v>1360</v>
      </c>
      <c r="D160" s="81" t="s">
        <v>1361</v>
      </c>
      <c r="E160" s="432" t="s">
        <v>1362</v>
      </c>
      <c r="F160" s="140"/>
      <c r="G160" s="376" t="s">
        <v>1363</v>
      </c>
      <c r="H160" s="74" t="s">
        <v>1364</v>
      </c>
      <c r="I160" s="713">
        <f>VFGO</f>
        <v>38.35</v>
      </c>
      <c r="J160" s="64" t="s">
        <v>1365</v>
      </c>
      <c r="K160" s="388" t="s">
        <v>1366</v>
      </c>
      <c r="L160" s="138"/>
      <c r="M160" s="248">
        <f>TIGO</f>
        <v>41.69</v>
      </c>
      <c r="N160" s="638"/>
      <c r="O160" s="655" t="str">
        <f>P</f>
        <v>. . .</v>
      </c>
      <c r="P160" s="234" t="str">
        <f>"(18)"</f>
        <v>(18)</v>
      </c>
      <c r="Q160" s="186">
        <f>SUM(I160:P160)*19.6%</f>
        <v>15.68784</v>
      </c>
      <c r="R160" s="186">
        <f>SUM(I160:P160)*13%</f>
        <v>10.405199999999999</v>
      </c>
      <c r="S160" s="49"/>
      <c r="T160" s="50">
        <v>5736</v>
      </c>
      <c r="U160" s="51"/>
      <c r="V160" s="52">
        <v>5732</v>
      </c>
      <c r="W160" s="185">
        <v>5937</v>
      </c>
      <c r="X160" s="185"/>
      <c r="Y160" s="18"/>
      <c r="Z160" s="18"/>
      <c r="AA160" s="18"/>
      <c r="AB160" s="19"/>
      <c r="AC160" s="387"/>
      <c r="AD160" s="21"/>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31"/>
    </row>
    <row r="161" spans="1:92" s="396" customFormat="1" ht="12.75">
      <c r="A161" s="62">
        <v>70</v>
      </c>
      <c r="B161" s="74" t="s">
        <v>1367</v>
      </c>
      <c r="C161" s="137" t="s">
        <v>1368</v>
      </c>
      <c r="D161" s="81" t="s">
        <v>1369</v>
      </c>
      <c r="E161" s="432" t="s">
        <v>1370</v>
      </c>
      <c r="F161" s="140"/>
      <c r="G161" s="376" t="s">
        <v>1371</v>
      </c>
      <c r="H161" s="74" t="s">
        <v>1372</v>
      </c>
      <c r="I161" s="713">
        <f>VFGO</f>
        <v>38.35</v>
      </c>
      <c r="J161" s="64" t="s">
        <v>1373</v>
      </c>
      <c r="K161" s="388" t="s">
        <v>1374</v>
      </c>
      <c r="L161" s="138"/>
      <c r="M161" s="248">
        <f>TIGO</f>
        <v>41.69</v>
      </c>
      <c r="N161" s="638"/>
      <c r="O161" s="655" t="str">
        <f>P</f>
        <v>. . .</v>
      </c>
      <c r="P161" s="234" t="str">
        <f>"(18)"</f>
        <v>(18)</v>
      </c>
      <c r="Q161" s="186">
        <f>TVAGOMETRO</f>
        <v>15.68784</v>
      </c>
      <c r="R161" s="186">
        <f>TVAGOCORSE</f>
        <v>10.405199999999999</v>
      </c>
      <c r="S161" s="49"/>
      <c r="T161" s="50">
        <v>5712</v>
      </c>
      <c r="U161" s="51"/>
      <c r="V161" s="52">
        <v>5732</v>
      </c>
      <c r="W161" s="185">
        <v>5937</v>
      </c>
      <c r="X161" s="185"/>
      <c r="Y161" s="389">
        <v>9306</v>
      </c>
      <c r="Z161" s="389">
        <v>9187</v>
      </c>
      <c r="AA161" s="389">
        <v>9301</v>
      </c>
      <c r="AB161" s="390"/>
      <c r="AC161" s="391"/>
      <c r="AD161" s="392"/>
      <c r="AE161" s="393"/>
      <c r="AF161" s="393"/>
      <c r="AG161" s="393"/>
      <c r="AH161" s="393"/>
      <c r="AI161" s="393"/>
      <c r="AJ161" s="393"/>
      <c r="AK161" s="393"/>
      <c r="AL161" s="393"/>
      <c r="AM161" s="393"/>
      <c r="AN161" s="393"/>
      <c r="AO161" s="393"/>
      <c r="AP161" s="393"/>
      <c r="AQ161" s="393"/>
      <c r="AR161" s="393"/>
      <c r="AS161" s="393"/>
      <c r="AT161" s="393"/>
      <c r="AU161" s="393"/>
      <c r="AV161" s="393"/>
      <c r="AW161" s="393"/>
      <c r="AX161" s="393"/>
      <c r="AY161" s="393"/>
      <c r="AZ161" s="393"/>
      <c r="BA161" s="393"/>
      <c r="BB161" s="393"/>
      <c r="BC161" s="393"/>
      <c r="BD161" s="393"/>
      <c r="BE161" s="393"/>
      <c r="BF161" s="393"/>
      <c r="BG161" s="394"/>
      <c r="BH161" s="395"/>
      <c r="BI161" s="395"/>
      <c r="BJ161" s="395"/>
      <c r="BK161" s="395"/>
      <c r="BL161" s="395"/>
      <c r="BM161" s="395"/>
      <c r="BN161" s="395"/>
      <c r="BO161" s="395"/>
      <c r="BP161" s="395"/>
      <c r="BQ161" s="395"/>
      <c r="BR161" s="395"/>
      <c r="BS161" s="395"/>
      <c r="BT161" s="395"/>
      <c r="BU161" s="395"/>
      <c r="BV161" s="395"/>
      <c r="BW161" s="395"/>
      <c r="BX161" s="395"/>
      <c r="BY161" s="395"/>
      <c r="BZ161" s="395"/>
      <c r="CA161" s="395"/>
      <c r="CB161" s="395"/>
      <c r="CC161" s="395"/>
      <c r="CD161" s="395"/>
      <c r="CE161" s="395"/>
      <c r="CF161" s="395"/>
      <c r="CG161" s="395"/>
      <c r="CH161" s="395"/>
      <c r="CI161" s="395"/>
      <c r="CJ161" s="395"/>
      <c r="CK161" s="395"/>
      <c r="CL161" s="395"/>
      <c r="CM161" s="395"/>
      <c r="CN161" s="395"/>
    </row>
    <row r="162" spans="1:59" ht="12.75">
      <c r="A162" s="62"/>
      <c r="B162" s="74"/>
      <c r="C162" s="137" t="s">
        <v>1375</v>
      </c>
      <c r="D162" s="81"/>
      <c r="E162" s="432"/>
      <c r="F162" s="140"/>
      <c r="G162" s="372"/>
      <c r="H162" s="109"/>
      <c r="I162" s="532"/>
      <c r="J162" s="64"/>
      <c r="K162" s="139"/>
      <c r="L162" s="139"/>
      <c r="M162" s="248"/>
      <c r="N162" s="638"/>
      <c r="O162" s="655"/>
      <c r="P162" s="654"/>
      <c r="Q162" s="186"/>
      <c r="R162" s="186"/>
      <c r="S162" s="49"/>
      <c r="T162" s="50"/>
      <c r="U162" s="51"/>
      <c r="V162" s="52"/>
      <c r="W162" s="53"/>
      <c r="X162" s="53"/>
      <c r="Y162" s="18">
        <v>4012</v>
      </c>
      <c r="Z162" s="18">
        <v>9301</v>
      </c>
      <c r="AA162" s="18"/>
      <c r="AB162" s="19"/>
      <c r="AC162" s="20"/>
      <c r="AD162" s="21"/>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31"/>
    </row>
    <row r="163" spans="1:59" s="7" customFormat="1" ht="12.75">
      <c r="A163" s="289">
        <v>71</v>
      </c>
      <c r="B163" s="290" t="s">
        <v>1376</v>
      </c>
      <c r="C163" s="154" t="s">
        <v>1377</v>
      </c>
      <c r="D163" s="683" t="s">
        <v>1378</v>
      </c>
      <c r="E163" s="697" t="s">
        <v>1379</v>
      </c>
      <c r="F163" s="698"/>
      <c r="G163" s="398" t="s">
        <v>1380</v>
      </c>
      <c r="H163" s="292" t="s">
        <v>1381</v>
      </c>
      <c r="I163" s="660">
        <f>VFFOD</f>
        <v>39.59</v>
      </c>
      <c r="J163" s="719" t="s">
        <v>1382</v>
      </c>
      <c r="K163" s="293" t="s">
        <v>1383</v>
      </c>
      <c r="L163" s="294"/>
      <c r="M163" s="248">
        <f>TIFD</f>
        <v>5.66</v>
      </c>
      <c r="N163" s="561"/>
      <c r="O163" s="660" t="str">
        <f>P</f>
        <v>. . .</v>
      </c>
      <c r="P163" s="649" t="str">
        <f>"(18)"</f>
        <v>(18)</v>
      </c>
      <c r="Q163" s="186">
        <f>SUM(I163:P163)*19.6%</f>
        <v>8.869</v>
      </c>
      <c r="R163" s="186">
        <f>SUM(I163:P163)*13%</f>
        <v>5.8825</v>
      </c>
      <c r="S163" s="224"/>
      <c r="T163" s="399">
        <v>5710</v>
      </c>
      <c r="U163" s="400"/>
      <c r="V163" s="401">
        <v>5732</v>
      </c>
      <c r="W163" s="402">
        <v>5911</v>
      </c>
      <c r="X163" s="402"/>
      <c r="Y163" s="141">
        <v>9196</v>
      </c>
      <c r="Z163" s="141">
        <v>9306</v>
      </c>
      <c r="AA163" s="18">
        <v>9301</v>
      </c>
      <c r="AB163" s="19"/>
      <c r="AC163" s="20"/>
      <c r="AD163" s="21"/>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31"/>
    </row>
    <row r="164" spans="1:59" ht="12.75">
      <c r="A164" s="62">
        <v>72</v>
      </c>
      <c r="B164" s="74" t="s">
        <v>1384</v>
      </c>
      <c r="C164" s="137" t="s">
        <v>1385</v>
      </c>
      <c r="D164" s="81" t="s">
        <v>1386</v>
      </c>
      <c r="E164" s="432" t="s">
        <v>1387</v>
      </c>
      <c r="F164" s="140"/>
      <c r="G164" s="372" t="s">
        <v>1388</v>
      </c>
      <c r="H164" s="373" t="s">
        <v>1389</v>
      </c>
      <c r="I164" s="532">
        <f>VFFOD</f>
        <v>39.59</v>
      </c>
      <c r="J164" s="64" t="s">
        <v>1390</v>
      </c>
      <c r="K164" s="201" t="s">
        <v>1391</v>
      </c>
      <c r="L164" s="139"/>
      <c r="M164" s="248" t="s">
        <v>1392</v>
      </c>
      <c r="N164" s="638"/>
      <c r="O164" s="655" t="str">
        <f>P</f>
        <v>. . .</v>
      </c>
      <c r="P164" s="234" t="str">
        <f>P</f>
        <v>. . .</v>
      </c>
      <c r="Q164" s="186">
        <f>TVAGAZOLAUTREMETRO</f>
        <v>7.5166</v>
      </c>
      <c r="R164" s="186">
        <f>TVAGAZOLAUTRECORSE</f>
        <v>4.9855</v>
      </c>
      <c r="S164" s="363"/>
      <c r="W164" s="185">
        <v>5967</v>
      </c>
      <c r="X164" s="185"/>
      <c r="Y164" s="18"/>
      <c r="Z164" s="18"/>
      <c r="AA164" s="18"/>
      <c r="AB164" s="19"/>
      <c r="AC164" s="20"/>
      <c r="AD164" s="21"/>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31"/>
    </row>
    <row r="165" spans="1:59" s="7" customFormat="1" ht="12.75">
      <c r="A165" s="62">
        <v>73</v>
      </c>
      <c r="B165" s="74" t="s">
        <v>1393</v>
      </c>
      <c r="C165" s="137" t="s">
        <v>1394</v>
      </c>
      <c r="D165" s="81" t="s">
        <v>1395</v>
      </c>
      <c r="E165" s="432" t="s">
        <v>1396</v>
      </c>
      <c r="F165" s="140"/>
      <c r="G165" s="376" t="s">
        <v>1397</v>
      </c>
      <c r="H165" s="74" t="s">
        <v>1398</v>
      </c>
      <c r="I165" s="532">
        <f>VFFOD</f>
        <v>39.59</v>
      </c>
      <c r="J165" s="64" t="s">
        <v>1399</v>
      </c>
      <c r="K165" s="388" t="s">
        <v>1400</v>
      </c>
      <c r="L165" s="138"/>
      <c r="M165" s="248">
        <f>TIGO</f>
        <v>41.69</v>
      </c>
      <c r="N165" s="638"/>
      <c r="O165" s="655" t="str">
        <f>P</f>
        <v>. . .</v>
      </c>
      <c r="P165" s="234" t="str">
        <f>"(18)"</f>
        <v>(18)</v>
      </c>
      <c r="Q165" s="186">
        <f>TVAGOAUTRMETRO</f>
        <v>16.20332</v>
      </c>
      <c r="R165" s="186">
        <f>TVAGOAUTRCORSE</f>
        <v>10.747100000000001</v>
      </c>
      <c r="S165" s="363"/>
      <c r="T165" s="149">
        <v>5712</v>
      </c>
      <c r="U165" s="150"/>
      <c r="V165" s="151">
        <v>5732</v>
      </c>
      <c r="W165" s="157">
        <v>5934</v>
      </c>
      <c r="X165" s="157"/>
      <c r="Y165" s="18">
        <v>4012</v>
      </c>
      <c r="Z165" s="18">
        <v>9301</v>
      </c>
      <c r="AA165" s="18"/>
      <c r="AB165" s="19"/>
      <c r="AC165" s="20"/>
      <c r="AD165" s="21"/>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31"/>
    </row>
    <row r="166" spans="1:59" s="7" customFormat="1" ht="12.75">
      <c r="A166" s="62"/>
      <c r="B166" s="74"/>
      <c r="C166" s="137" t="s">
        <v>1401</v>
      </c>
      <c r="D166" s="669"/>
      <c r="E166" s="432"/>
      <c r="F166" s="140"/>
      <c r="G166" s="372"/>
      <c r="H166" s="373"/>
      <c r="I166" s="532"/>
      <c r="J166" s="64"/>
      <c r="K166" s="139"/>
      <c r="L166" s="139"/>
      <c r="M166" s="248"/>
      <c r="N166" s="638"/>
      <c r="O166" s="655"/>
      <c r="P166" s="148"/>
      <c r="Q166" s="186"/>
      <c r="R166" s="186"/>
      <c r="S166" s="363"/>
      <c r="T166" s="50"/>
      <c r="U166" s="51"/>
      <c r="V166" s="52"/>
      <c r="W166" s="53"/>
      <c r="X166" s="53"/>
      <c r="Y166" s="18">
        <v>9197</v>
      </c>
      <c r="Z166" s="18">
        <v>9306</v>
      </c>
      <c r="AA166" s="141">
        <v>9301</v>
      </c>
      <c r="AB166" s="19"/>
      <c r="AC166" s="20"/>
      <c r="AD166" s="403"/>
      <c r="AE166" s="338"/>
      <c r="AF166" s="338"/>
      <c r="AG166" s="338"/>
      <c r="AH166" s="338"/>
      <c r="AI166" s="338"/>
      <c r="AJ166" s="338"/>
      <c r="AK166" s="338"/>
      <c r="AL166" s="338"/>
      <c r="AM166" s="338"/>
      <c r="AN166" s="338"/>
      <c r="AO166" s="338"/>
      <c r="AP166" s="338"/>
      <c r="AQ166" s="338"/>
      <c r="AR166" s="338"/>
      <c r="AS166" s="338"/>
      <c r="AT166" s="338"/>
      <c r="AU166" s="338"/>
      <c r="AV166" s="338"/>
      <c r="AW166" s="338"/>
      <c r="AX166" s="338"/>
      <c r="AY166" s="338"/>
      <c r="AZ166" s="338"/>
      <c r="BA166" s="338"/>
      <c r="BB166" s="338"/>
      <c r="BC166" s="338"/>
      <c r="BD166" s="338"/>
      <c r="BE166" s="338"/>
      <c r="BF166" s="338"/>
      <c r="BG166" s="337"/>
    </row>
    <row r="167" spans="1:59" ht="12.75">
      <c r="A167" s="62">
        <v>74</v>
      </c>
      <c r="B167" s="74" t="s">
        <v>1402</v>
      </c>
      <c r="C167" s="137" t="s">
        <v>1403</v>
      </c>
      <c r="D167" s="81" t="s">
        <v>1404</v>
      </c>
      <c r="E167" s="432">
        <f>TEChuilelourde</f>
        <v>0.035</v>
      </c>
      <c r="F167" s="140"/>
      <c r="G167" s="376" t="s">
        <v>1405</v>
      </c>
      <c r="H167" s="74" t="s">
        <v>1406</v>
      </c>
      <c r="I167" s="532">
        <f>VFFOD</f>
        <v>39.59</v>
      </c>
      <c r="J167" s="64" t="s">
        <v>1407</v>
      </c>
      <c r="K167" s="184">
        <f>ROUND(I167*TEChuilelourde,2)</f>
        <v>1.39</v>
      </c>
      <c r="L167" s="138"/>
      <c r="M167" s="248" t="s">
        <v>1408</v>
      </c>
      <c r="N167" s="638"/>
      <c r="O167" s="655" t="str">
        <f>P</f>
        <v>. . .</v>
      </c>
      <c r="P167" s="234" t="str">
        <f>P</f>
        <v>. . .</v>
      </c>
      <c r="Q167" s="186">
        <f>TVAGAZOLAUTREMETRO</f>
        <v>7.5166</v>
      </c>
      <c r="R167" s="186">
        <f>TVAGAZOLAUTRECORSE</f>
        <v>4.9855</v>
      </c>
      <c r="S167" s="363"/>
      <c r="V167" s="330"/>
      <c r="W167" s="185">
        <v>5967</v>
      </c>
      <c r="X167" s="185"/>
      <c r="Y167" s="18"/>
      <c r="Z167" s="18"/>
      <c r="AA167" s="18"/>
      <c r="AB167" s="19"/>
      <c r="AC167" s="20"/>
      <c r="AD167" s="403"/>
      <c r="AE167" s="338"/>
      <c r="AF167" s="338"/>
      <c r="AG167" s="338"/>
      <c r="AH167" s="338"/>
      <c r="AI167" s="338"/>
      <c r="AJ167" s="338"/>
      <c r="AK167" s="338"/>
      <c r="AL167" s="338"/>
      <c r="AM167" s="338"/>
      <c r="AN167" s="338"/>
      <c r="AO167" s="338"/>
      <c r="AP167" s="338"/>
      <c r="AQ167" s="338"/>
      <c r="AR167" s="338"/>
      <c r="AS167" s="338"/>
      <c r="AT167" s="338"/>
      <c r="AU167" s="338"/>
      <c r="AV167" s="338"/>
      <c r="AW167" s="338"/>
      <c r="AX167" s="338"/>
      <c r="AY167" s="338"/>
      <c r="AZ167" s="338"/>
      <c r="BA167" s="338"/>
      <c r="BB167" s="338"/>
      <c r="BC167" s="338"/>
      <c r="BD167" s="338"/>
      <c r="BE167" s="338"/>
      <c r="BF167" s="338"/>
      <c r="BG167" s="337"/>
    </row>
    <row r="168" spans="1:59" ht="12.75">
      <c r="A168" s="62">
        <v>75</v>
      </c>
      <c r="B168" s="74" t="s">
        <v>1409</v>
      </c>
      <c r="C168" s="137" t="s">
        <v>1410</v>
      </c>
      <c r="D168" s="81" t="s">
        <v>1411</v>
      </c>
      <c r="E168" s="432">
        <f>TEChuilelourde</f>
        <v>0.035</v>
      </c>
      <c r="F168" s="140"/>
      <c r="G168" s="376" t="s">
        <v>1412</v>
      </c>
      <c r="H168" s="74" t="s">
        <v>1413</v>
      </c>
      <c r="I168" s="532">
        <f>VFFOD</f>
        <v>39.59</v>
      </c>
      <c r="J168" s="64" t="s">
        <v>1414</v>
      </c>
      <c r="K168" s="184">
        <f>ROUND(I168*TEChuilelourde,2)</f>
        <v>1.39</v>
      </c>
      <c r="L168" s="138"/>
      <c r="M168" s="248">
        <f>TIGO</f>
        <v>41.69</v>
      </c>
      <c r="N168" s="638"/>
      <c r="O168" s="655" t="str">
        <f>P</f>
        <v>. . .</v>
      </c>
      <c r="P168" s="234" t="str">
        <f>"(18)"</f>
        <v>(18)</v>
      </c>
      <c r="Q168" s="186">
        <f>SUM(I168:P168)*19.6%</f>
        <v>16.20332</v>
      </c>
      <c r="R168" s="186">
        <f>SUM(I168:P168)*13%</f>
        <v>10.747100000000001</v>
      </c>
      <c r="S168" s="49"/>
      <c r="T168" s="50">
        <v>5712</v>
      </c>
      <c r="U168" s="51"/>
      <c r="V168" s="151">
        <v>5732</v>
      </c>
      <c r="W168" s="185">
        <v>5934</v>
      </c>
      <c r="X168" s="185"/>
      <c r="Y168" s="18"/>
      <c r="Z168" s="18"/>
      <c r="AA168" s="18"/>
      <c r="AB168" s="19"/>
      <c r="AC168" s="20"/>
      <c r="AD168" s="21"/>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31"/>
    </row>
    <row r="169" spans="1:59" ht="12.75">
      <c r="A169" s="62"/>
      <c r="B169" s="74"/>
      <c r="C169" s="137"/>
      <c r="D169" s="81"/>
      <c r="E169" s="432"/>
      <c r="F169" s="140"/>
      <c r="G169" s="372"/>
      <c r="H169" s="373"/>
      <c r="I169" s="64"/>
      <c r="J169" s="64"/>
      <c r="K169" s="202"/>
      <c r="L169" s="139"/>
      <c r="M169" s="248"/>
      <c r="N169" s="638"/>
      <c r="O169" s="655"/>
      <c r="P169" s="234"/>
      <c r="Q169" s="186"/>
      <c r="R169" s="186"/>
      <c r="S169" s="156"/>
      <c r="T169" s="50"/>
      <c r="U169" s="51"/>
      <c r="V169" s="52"/>
      <c r="W169" s="53"/>
      <c r="X169" s="53"/>
      <c r="Y169" s="141">
        <v>9052</v>
      </c>
      <c r="Z169" s="141">
        <v>9301</v>
      </c>
      <c r="AA169" s="18"/>
      <c r="AB169" s="19"/>
      <c r="AC169" s="20"/>
      <c r="AD169" s="21"/>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31"/>
    </row>
    <row r="170" spans="1:59" ht="12.75">
      <c r="A170" s="62"/>
      <c r="B170" s="74"/>
      <c r="C170" s="219" t="s">
        <v>1415</v>
      </c>
      <c r="D170" s="81"/>
      <c r="E170" s="432"/>
      <c r="F170" s="140"/>
      <c r="G170" s="372"/>
      <c r="H170" s="373"/>
      <c r="I170" s="532"/>
      <c r="J170" s="64"/>
      <c r="K170" s="139"/>
      <c r="L170" s="139"/>
      <c r="M170" s="248"/>
      <c r="N170" s="638"/>
      <c r="O170" s="655"/>
      <c r="P170" s="148"/>
      <c r="Q170" s="186"/>
      <c r="R170" s="186"/>
      <c r="S170" s="363"/>
      <c r="T170" s="50"/>
      <c r="U170" s="51"/>
      <c r="V170" s="52"/>
      <c r="W170" s="53"/>
      <c r="X170" s="53"/>
      <c r="Y170" s="18"/>
      <c r="Z170" s="18"/>
      <c r="AA170" s="18"/>
      <c r="AB170" s="19"/>
      <c r="AC170" s="20"/>
      <c r="AD170" s="403"/>
      <c r="AE170" s="338"/>
      <c r="AF170" s="338"/>
      <c r="AG170" s="338"/>
      <c r="AH170" s="338"/>
      <c r="AI170" s="338"/>
      <c r="AJ170" s="338"/>
      <c r="AK170" s="338"/>
      <c r="AL170" s="338"/>
      <c r="AM170" s="338"/>
      <c r="AN170" s="338"/>
      <c r="AO170" s="338"/>
      <c r="AP170" s="338"/>
      <c r="AQ170" s="338"/>
      <c r="AR170" s="338"/>
      <c r="AS170" s="338"/>
      <c r="AT170" s="338"/>
      <c r="AU170" s="338"/>
      <c r="AV170" s="338"/>
      <c r="AW170" s="338"/>
      <c r="AX170" s="338"/>
      <c r="AY170" s="338"/>
      <c r="AZ170" s="338"/>
      <c r="BA170" s="338"/>
      <c r="BB170" s="338"/>
      <c r="BC170" s="338"/>
      <c r="BD170" s="338"/>
      <c r="BE170" s="338"/>
      <c r="BF170" s="338"/>
      <c r="BG170" s="337"/>
    </row>
    <row r="171" spans="1:59" ht="12.75">
      <c r="A171" s="62">
        <v>76</v>
      </c>
      <c r="B171" s="74" t="s">
        <v>1416</v>
      </c>
      <c r="C171" s="137" t="s">
        <v>1417</v>
      </c>
      <c r="D171" s="81" t="str">
        <f>P</f>
        <v>. . .</v>
      </c>
      <c r="E171" s="432" t="s">
        <v>1418</v>
      </c>
      <c r="F171" s="140"/>
      <c r="G171" s="372" t="s">
        <v>1419</v>
      </c>
      <c r="H171" s="109" t="s">
        <v>1420</v>
      </c>
      <c r="I171" s="64" t="str">
        <f>R</f>
        <v>Réelle</v>
      </c>
      <c r="J171" s="64" t="s">
        <v>1421</v>
      </c>
      <c r="K171" s="202" t="s">
        <v>1422</v>
      </c>
      <c r="L171" s="139"/>
      <c r="M171" s="248" t="str">
        <f>"(3)"</f>
        <v>(3)</v>
      </c>
      <c r="N171" s="638"/>
      <c r="O171" s="655" t="str">
        <f>P</f>
        <v>. . .</v>
      </c>
      <c r="P171" s="248" t="str">
        <f>"(3)"</f>
        <v>(3)</v>
      </c>
      <c r="Q171" s="186" t="str">
        <f>"(3)"</f>
        <v>(3)</v>
      </c>
      <c r="R171" s="186" t="str">
        <f>"(3)"</f>
        <v>(3)</v>
      </c>
      <c r="S171" s="363"/>
      <c r="W171" s="152" t="str">
        <f>t</f>
        <v>TVO</v>
      </c>
      <c r="X171" s="152">
        <v>5930</v>
      </c>
      <c r="Y171" s="141">
        <v>9052</v>
      </c>
      <c r="Z171" s="141">
        <v>9301</v>
      </c>
      <c r="AA171" s="18"/>
      <c r="AB171" s="19"/>
      <c r="AC171" s="20"/>
      <c r="AD171" s="21"/>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31"/>
    </row>
    <row r="172" spans="1:59" ht="12.75">
      <c r="A172" s="62">
        <v>77</v>
      </c>
      <c r="B172" s="404" t="s">
        <v>1423</v>
      </c>
      <c r="C172" s="137" t="s">
        <v>1424</v>
      </c>
      <c r="D172" s="81"/>
      <c r="E172" s="432"/>
      <c r="F172" s="140"/>
      <c r="G172" s="372"/>
      <c r="H172" s="109"/>
      <c r="I172" s="532"/>
      <c r="J172" s="64"/>
      <c r="K172" s="139"/>
      <c r="L172" s="139"/>
      <c r="M172" s="248"/>
      <c r="N172" s="638"/>
      <c r="O172" s="655"/>
      <c r="P172" s="248"/>
      <c r="Q172" s="186"/>
      <c r="R172" s="186"/>
      <c r="S172" s="49"/>
      <c r="T172" s="50"/>
      <c r="U172" s="51"/>
      <c r="V172" s="52"/>
      <c r="W172" s="53"/>
      <c r="X172" s="53"/>
      <c r="Y172" s="18"/>
      <c r="Z172" s="18"/>
      <c r="AA172" s="141"/>
      <c r="AB172" s="19"/>
      <c r="AC172" s="20"/>
      <c r="AD172" s="21"/>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31"/>
    </row>
    <row r="173" spans="1:59" ht="12.75">
      <c r="A173" s="62"/>
      <c r="B173" s="74"/>
      <c r="C173" s="137" t="s">
        <v>1425</v>
      </c>
      <c r="D173" s="81" t="str">
        <f>P</f>
        <v>. . .</v>
      </c>
      <c r="E173" s="432" t="s">
        <v>1426</v>
      </c>
      <c r="F173" s="140"/>
      <c r="G173" s="372" t="s">
        <v>1427</v>
      </c>
      <c r="H173" s="109" t="s">
        <v>1428</v>
      </c>
      <c r="I173" s="64" t="str">
        <f>R</f>
        <v>Réelle</v>
      </c>
      <c r="J173" s="64" t="s">
        <v>1429</v>
      </c>
      <c r="K173" s="202" t="s">
        <v>1430</v>
      </c>
      <c r="L173" s="139"/>
      <c r="M173" s="248" t="str">
        <f>"(3)"</f>
        <v>(3)</v>
      </c>
      <c r="N173" s="638"/>
      <c r="O173" s="655" t="str">
        <f>P</f>
        <v>. . .</v>
      </c>
      <c r="P173" s="248" t="str">
        <f>"(3)"</f>
        <v>(3)</v>
      </c>
      <c r="Q173" s="186" t="str">
        <f>"(3)"</f>
        <v>(3)</v>
      </c>
      <c r="R173" s="186" t="str">
        <f>"(3)"</f>
        <v>(3)</v>
      </c>
      <c r="S173" s="363"/>
      <c r="W173" s="152" t="str">
        <f>t</f>
        <v>TVO</v>
      </c>
      <c r="X173" s="152">
        <v>5930</v>
      </c>
      <c r="Y173" s="141"/>
      <c r="Z173" s="141"/>
      <c r="AA173" s="18"/>
      <c r="AB173" s="19"/>
      <c r="AC173" s="20"/>
      <c r="AD173" s="21"/>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31"/>
    </row>
    <row r="174" spans="1:59" ht="13.5" thickBot="1">
      <c r="A174" s="187"/>
      <c r="B174" s="188"/>
      <c r="C174" s="405" t="s">
        <v>1431</v>
      </c>
      <c r="D174" s="674"/>
      <c r="E174" s="689"/>
      <c r="F174" s="690"/>
      <c r="G174" s="406"/>
      <c r="H174" s="378"/>
      <c r="I174" s="656"/>
      <c r="J174" s="708"/>
      <c r="K174" s="193"/>
      <c r="L174" s="193"/>
      <c r="M174" s="194"/>
      <c r="N174" s="484"/>
      <c r="O174" s="656"/>
      <c r="P174" s="195"/>
      <c r="Q174" s="343"/>
      <c r="R174" s="343"/>
      <c r="S174" s="363"/>
      <c r="T174" s="50"/>
      <c r="U174" s="51"/>
      <c r="V174" s="52"/>
      <c r="W174" s="53"/>
      <c r="X174" s="53"/>
      <c r="Y174" s="18"/>
      <c r="Z174" s="18"/>
      <c r="AA174" s="141"/>
      <c r="AB174" s="19"/>
      <c r="AC174" s="20"/>
      <c r="AD174" s="21"/>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31"/>
    </row>
    <row r="175" spans="1:59" ht="12.75">
      <c r="A175" s="197"/>
      <c r="B175" s="198"/>
      <c r="C175" s="407" t="s">
        <v>1432</v>
      </c>
      <c r="D175" s="68"/>
      <c r="E175" s="691"/>
      <c r="F175" s="692"/>
      <c r="G175" s="408"/>
      <c r="H175" s="380"/>
      <c r="I175" s="657"/>
      <c r="J175" s="667"/>
      <c r="K175" s="200"/>
      <c r="L175" s="200"/>
      <c r="M175" s="248"/>
      <c r="N175" s="184"/>
      <c r="O175" s="532"/>
      <c r="P175" s="249"/>
      <c r="Q175" s="186"/>
      <c r="R175" s="186"/>
      <c r="S175" s="49"/>
      <c r="T175" s="50"/>
      <c r="U175" s="51"/>
      <c r="V175" s="52"/>
      <c r="W175" s="53"/>
      <c r="X175" s="53"/>
      <c r="AA175" s="141"/>
      <c r="AB175" s="19"/>
      <c r="AC175" s="20"/>
      <c r="AD175" s="21"/>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31"/>
    </row>
    <row r="176" spans="1:59" ht="12.75">
      <c r="A176" s="62"/>
      <c r="B176" s="246"/>
      <c r="C176" s="733" t="s">
        <v>1433</v>
      </c>
      <c r="D176" s="81"/>
      <c r="E176" s="432"/>
      <c r="F176" s="140"/>
      <c r="G176" s="372"/>
      <c r="H176" s="409"/>
      <c r="I176" s="532"/>
      <c r="J176" s="64"/>
      <c r="K176" s="139"/>
      <c r="L176" s="139"/>
      <c r="M176" s="248"/>
      <c r="N176" s="184"/>
      <c r="O176" s="532"/>
      <c r="P176" s="249"/>
      <c r="Q176" s="186"/>
      <c r="R176" s="186"/>
      <c r="S176" s="49"/>
      <c r="T176" s="50"/>
      <c r="U176" s="51"/>
      <c r="V176" s="52"/>
      <c r="W176" s="53"/>
      <c r="X176" s="53"/>
      <c r="AA176" s="141"/>
      <c r="AB176" s="19"/>
      <c r="AC176" s="20"/>
      <c r="AD176" s="21"/>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31"/>
    </row>
    <row r="177" spans="1:92" s="410" customFormat="1" ht="12.75">
      <c r="A177" s="62">
        <v>78</v>
      </c>
      <c r="B177" s="74" t="s">
        <v>1434</v>
      </c>
      <c r="C177" s="91" t="s">
        <v>1435</v>
      </c>
      <c r="D177" s="81" t="str">
        <f>P</f>
        <v>. . .</v>
      </c>
      <c r="E177" s="432">
        <f>TEChuilelourde</f>
        <v>0.035</v>
      </c>
      <c r="F177" s="140"/>
      <c r="G177" s="376" t="s">
        <v>1436</v>
      </c>
      <c r="H177" s="74" t="s">
        <v>1437</v>
      </c>
      <c r="I177" s="532">
        <f>VFFOD</f>
        <v>39.59</v>
      </c>
      <c r="J177" s="64" t="s">
        <v>1438</v>
      </c>
      <c r="K177" s="184">
        <f>ROUND(I177*TEChuilelourde,2)</f>
        <v>1.39</v>
      </c>
      <c r="L177" s="138"/>
      <c r="M177" s="248">
        <f>TIGO</f>
        <v>41.69</v>
      </c>
      <c r="N177" s="638"/>
      <c r="O177" s="655" t="str">
        <f>P</f>
        <v>. . .</v>
      </c>
      <c r="P177" s="234" t="s">
        <v>1439</v>
      </c>
      <c r="Q177" s="186">
        <f>TVAGOMETRO</f>
        <v>15.68784</v>
      </c>
      <c r="R177" s="186">
        <f>TVAGOCORSE</f>
        <v>10.405199999999999</v>
      </c>
      <c r="S177" s="363"/>
      <c r="T177" s="311">
        <v>5712</v>
      </c>
      <c r="U177" s="312"/>
      <c r="V177" s="11"/>
      <c r="W177" s="309">
        <v>5938</v>
      </c>
      <c r="X177" s="309"/>
      <c r="Y177" s="13">
        <v>9305</v>
      </c>
      <c r="Z177" s="13">
        <v>9301</v>
      </c>
      <c r="AA177" s="141"/>
      <c r="AB177" s="19"/>
      <c r="AC177" s="20"/>
      <c r="AD177" s="21"/>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31"/>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row>
    <row r="178" spans="1:59" ht="12.75">
      <c r="A178" s="305">
        <v>79</v>
      </c>
      <c r="B178" s="74" t="s">
        <v>1440</v>
      </c>
      <c r="C178" s="176" t="s">
        <v>1441</v>
      </c>
      <c r="D178" s="81"/>
      <c r="E178" s="432"/>
      <c r="F178" s="140"/>
      <c r="G178" s="372"/>
      <c r="H178" s="373"/>
      <c r="I178" s="532"/>
      <c r="J178" s="64"/>
      <c r="K178" s="201"/>
      <c r="L178" s="139"/>
      <c r="M178" s="248"/>
      <c r="N178" s="638"/>
      <c r="O178" s="655"/>
      <c r="P178" s="234"/>
      <c r="Q178" s="186"/>
      <c r="R178" s="186"/>
      <c r="S178" s="49"/>
      <c r="W178" s="309"/>
      <c r="X178" s="309"/>
      <c r="Y178" s="141">
        <v>9301</v>
      </c>
      <c r="Z178" s="141"/>
      <c r="AB178" s="19"/>
      <c r="AC178" s="20"/>
      <c r="AD178" s="21"/>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31"/>
    </row>
    <row r="179" spans="1:59" ht="12.75">
      <c r="A179" s="305"/>
      <c r="B179" s="74"/>
      <c r="C179" s="176" t="s">
        <v>1442</v>
      </c>
      <c r="D179" s="81" t="str">
        <f>P</f>
        <v>. . .</v>
      </c>
      <c r="E179" s="432">
        <f>TEChuilelourde</f>
        <v>0.035</v>
      </c>
      <c r="F179" s="140"/>
      <c r="G179" s="372" t="s">
        <v>1443</v>
      </c>
      <c r="H179" s="373" t="s">
        <v>1444</v>
      </c>
      <c r="I179" s="532">
        <f>VFBS</f>
        <v>21.99</v>
      </c>
      <c r="J179" s="64" t="s">
        <v>1445</v>
      </c>
      <c r="K179" s="201">
        <f>ROUND(I179*TEChuilelourde,2)</f>
        <v>0.77</v>
      </c>
      <c r="L179" s="139"/>
      <c r="M179" s="248" t="s">
        <v>1446</v>
      </c>
      <c r="N179" s="638"/>
      <c r="O179" s="655" t="str">
        <f>P</f>
        <v>. . .</v>
      </c>
      <c r="P179" s="234" t="str">
        <f>P</f>
        <v>. . .</v>
      </c>
      <c r="Q179" s="186">
        <f>TVAFLBTSAUTREMETRO</f>
        <v>4.46096</v>
      </c>
      <c r="R179" s="186">
        <f>TVAFLBTSAUTRECORSE</f>
        <v>2.9587999999999997</v>
      </c>
      <c r="S179" s="49"/>
      <c r="W179" s="309">
        <v>5929</v>
      </c>
      <c r="X179" s="309"/>
      <c r="Y179" s="141">
        <v>4012</v>
      </c>
      <c r="Z179" s="141">
        <v>9301</v>
      </c>
      <c r="AB179" s="19"/>
      <c r="AC179" s="20"/>
      <c r="AD179" s="21"/>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31"/>
    </row>
    <row r="180" spans="1:59" ht="12.75">
      <c r="A180" s="62">
        <v>80</v>
      </c>
      <c r="B180" s="74" t="s">
        <v>1447</v>
      </c>
      <c r="C180" s="91" t="s">
        <v>1448</v>
      </c>
      <c r="D180" s="81" t="s">
        <v>1449</v>
      </c>
      <c r="E180" s="432">
        <f>TEChuilelourde</f>
        <v>0.035</v>
      </c>
      <c r="F180" s="140"/>
      <c r="G180" s="372"/>
      <c r="H180" s="373"/>
      <c r="I180" s="532">
        <f>VFBS</f>
        <v>21.99</v>
      </c>
      <c r="J180" s="64" t="s">
        <v>1450</v>
      </c>
      <c r="K180" s="201">
        <f>ROUND(I180*TEChuilelourde,2)</f>
        <v>0.77</v>
      </c>
      <c r="L180" s="139"/>
      <c r="M180" s="248">
        <f>TIFBTS</f>
        <v>1.85</v>
      </c>
      <c r="N180" s="638"/>
      <c r="O180" s="655" t="str">
        <f>P</f>
        <v>. . .</v>
      </c>
      <c r="P180" s="234" t="str">
        <f>"(18)"</f>
        <v>(18)</v>
      </c>
      <c r="Q180" s="186">
        <f>SUM(I180:P180)*19.6%</f>
        <v>4.8235600000000005</v>
      </c>
      <c r="R180" s="186">
        <f>SUM(I180:P180)*13%</f>
        <v>3.1993</v>
      </c>
      <c r="S180" s="296"/>
      <c r="T180" s="149">
        <v>5704</v>
      </c>
      <c r="U180" s="150"/>
      <c r="V180" s="151">
        <v>5733</v>
      </c>
      <c r="W180" s="157">
        <v>5948</v>
      </c>
      <c r="X180" s="157"/>
      <c r="Y180" s="141"/>
      <c r="Z180" s="141"/>
      <c r="AB180" s="19"/>
      <c r="AC180" s="20"/>
      <c r="AD180" s="21"/>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31"/>
    </row>
    <row r="181" spans="1:59" ht="12.75">
      <c r="A181" s="62">
        <v>81</v>
      </c>
      <c r="B181" s="74" t="s">
        <v>1451</v>
      </c>
      <c r="C181" s="91" t="s">
        <v>1452</v>
      </c>
      <c r="D181" s="81" t="str">
        <f>P</f>
        <v>. . .</v>
      </c>
      <c r="E181" s="432">
        <f>TEChuilelourde</f>
        <v>0.035</v>
      </c>
      <c r="F181" s="140"/>
      <c r="G181" s="372" t="s">
        <v>1453</v>
      </c>
      <c r="H181" s="373" t="s">
        <v>1454</v>
      </c>
      <c r="I181" s="532">
        <f>VFBS</f>
        <v>21.99</v>
      </c>
      <c r="J181" s="64" t="s">
        <v>1455</v>
      </c>
      <c r="K181" s="201">
        <f>ROUND(I181*TEChuilelourde,2)</f>
        <v>0.77</v>
      </c>
      <c r="L181" s="139"/>
      <c r="M181" s="248" t="s">
        <v>1456</v>
      </c>
      <c r="N181" s="638"/>
      <c r="O181" s="655" t="str">
        <f>P</f>
        <v>. . .</v>
      </c>
      <c r="P181" s="234" t="s">
        <v>1457</v>
      </c>
      <c r="Q181" s="186">
        <f>SUM(I181:P181)*19.6%</f>
        <v>4.46096</v>
      </c>
      <c r="R181" s="186">
        <f>SUM(I181:P181)*13%</f>
        <v>2.9587999999999997</v>
      </c>
      <c r="S181" s="296"/>
      <c r="W181" s="157">
        <v>5929</v>
      </c>
      <c r="X181" s="157"/>
      <c r="Y181" s="141"/>
      <c r="Z181" s="141"/>
      <c r="AA181" s="141"/>
      <c r="AB181" s="19"/>
      <c r="AC181" s="20"/>
      <c r="AD181" s="21"/>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31"/>
    </row>
    <row r="182" spans="1:59" ht="12.75">
      <c r="A182" s="62"/>
      <c r="B182" s="74"/>
      <c r="C182" s="91" t="s">
        <v>1458</v>
      </c>
      <c r="D182" s="81"/>
      <c r="E182" s="432"/>
      <c r="F182" s="140"/>
      <c r="G182" s="373"/>
      <c r="H182" s="373"/>
      <c r="I182" s="532"/>
      <c r="J182" s="64"/>
      <c r="K182" s="201"/>
      <c r="L182" s="139"/>
      <c r="M182" s="248"/>
      <c r="N182" s="638"/>
      <c r="O182" s="655"/>
      <c r="P182" s="234"/>
      <c r="Q182" s="186"/>
      <c r="R182" s="186"/>
      <c r="S182" s="296"/>
      <c r="W182" s="157"/>
      <c r="X182" s="157"/>
      <c r="Y182" s="141"/>
      <c r="Z182" s="141"/>
      <c r="AA182" s="141"/>
      <c r="AB182" s="19"/>
      <c r="AC182" s="20"/>
      <c r="AD182" s="21"/>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31"/>
    </row>
    <row r="183" spans="1:59" ht="12.75">
      <c r="A183" s="62">
        <v>82</v>
      </c>
      <c r="B183" s="74" t="s">
        <v>1459</v>
      </c>
      <c r="C183" s="91" t="s">
        <v>1460</v>
      </c>
      <c r="D183" s="81"/>
      <c r="E183" s="432">
        <f>TEChuilelourde</f>
        <v>0.035</v>
      </c>
      <c r="F183" s="140"/>
      <c r="G183" s="373"/>
      <c r="H183" s="373"/>
      <c r="I183" s="532">
        <f>VFFOD</f>
        <v>39.59</v>
      </c>
      <c r="J183" s="64" t="s">
        <v>1461</v>
      </c>
      <c r="K183" s="184">
        <f>ROUND(I183*TEChuilelourde,2)</f>
        <v>1.39</v>
      </c>
      <c r="L183" s="138"/>
      <c r="M183" s="248">
        <f>TIGO</f>
        <v>41.69</v>
      </c>
      <c r="N183" s="638"/>
      <c r="O183" s="655" t="str">
        <f>P</f>
        <v>. . .</v>
      </c>
      <c r="P183" s="234" t="s">
        <v>1462</v>
      </c>
      <c r="Q183" s="186">
        <f>TVAGOMETRO</f>
        <v>15.68784</v>
      </c>
      <c r="R183" s="186">
        <f>TVAGOCORSE</f>
        <v>10.405199999999999</v>
      </c>
      <c r="S183" s="296"/>
      <c r="T183" s="411">
        <v>5712</v>
      </c>
      <c r="W183" s="157">
        <v>5938</v>
      </c>
      <c r="X183" s="157"/>
      <c r="Y183" s="141"/>
      <c r="Z183" s="141"/>
      <c r="AA183" s="141"/>
      <c r="AB183" s="19"/>
      <c r="AC183" s="20"/>
      <c r="AD183" s="21"/>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31"/>
    </row>
    <row r="184" spans="1:59" ht="12.75">
      <c r="A184" s="62">
        <v>83</v>
      </c>
      <c r="B184" s="74" t="s">
        <v>1463</v>
      </c>
      <c r="C184" s="176" t="s">
        <v>1464</v>
      </c>
      <c r="D184" s="81"/>
      <c r="E184" s="432"/>
      <c r="F184" s="140"/>
      <c r="G184" s="373"/>
      <c r="H184" s="373"/>
      <c r="I184" s="532"/>
      <c r="J184" s="64"/>
      <c r="K184" s="201"/>
      <c r="L184" s="139"/>
      <c r="M184" s="248"/>
      <c r="N184" s="638"/>
      <c r="O184" s="655"/>
      <c r="P184" s="234"/>
      <c r="Q184" s="186"/>
      <c r="R184" s="186"/>
      <c r="S184" s="296"/>
      <c r="W184" s="157"/>
      <c r="X184" s="157"/>
      <c r="Y184" s="141"/>
      <c r="Z184" s="141"/>
      <c r="AA184" s="141"/>
      <c r="AB184" s="19"/>
      <c r="AC184" s="20"/>
      <c r="AD184" s="21"/>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31"/>
    </row>
    <row r="185" spans="1:59" ht="12.75">
      <c r="A185" s="62"/>
      <c r="B185" s="74"/>
      <c r="C185" s="176" t="s">
        <v>1465</v>
      </c>
      <c r="D185" s="81"/>
      <c r="E185" s="432">
        <f>TEChuilelourde</f>
        <v>0.035</v>
      </c>
      <c r="F185" s="140"/>
      <c r="G185" s="373"/>
      <c r="H185" s="373"/>
      <c r="I185" s="532">
        <f>VFBS</f>
        <v>21.99</v>
      </c>
      <c r="J185" s="64" t="s">
        <v>1466</v>
      </c>
      <c r="K185" s="201">
        <f>ROUND(I185*TEChuilelourde,2)</f>
        <v>0.77</v>
      </c>
      <c r="L185" s="139"/>
      <c r="M185" s="248" t="s">
        <v>1467</v>
      </c>
      <c r="N185" s="638"/>
      <c r="O185" s="655" t="str">
        <f>P</f>
        <v>. . .</v>
      </c>
      <c r="P185" s="234" t="str">
        <f>P</f>
        <v>. . .</v>
      </c>
      <c r="Q185" s="186">
        <f>TVAFLBTSAUTREMETRO</f>
        <v>4.46096</v>
      </c>
      <c r="R185" s="186">
        <f>TVAFLBTSAUTRECORSE</f>
        <v>2.9587999999999997</v>
      </c>
      <c r="S185" s="296"/>
      <c r="W185" s="157">
        <v>5929</v>
      </c>
      <c r="X185" s="157"/>
      <c r="Y185" s="141"/>
      <c r="Z185" s="141"/>
      <c r="AA185" s="141"/>
      <c r="AB185" s="19"/>
      <c r="AC185" s="20"/>
      <c r="AD185" s="21"/>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31"/>
    </row>
    <row r="186" spans="1:59" ht="12.75">
      <c r="A186" s="62">
        <v>84</v>
      </c>
      <c r="B186" s="74" t="s">
        <v>1468</v>
      </c>
      <c r="C186" s="91" t="s">
        <v>13</v>
      </c>
      <c r="D186" s="81"/>
      <c r="E186" s="432">
        <f>TEChuilelourde</f>
        <v>0.035</v>
      </c>
      <c r="F186" s="140"/>
      <c r="G186" s="373"/>
      <c r="H186" s="373"/>
      <c r="I186" s="532">
        <f>VFBS</f>
        <v>21.99</v>
      </c>
      <c r="J186" s="64" t="s">
        <v>1469</v>
      </c>
      <c r="K186" s="201">
        <f>ROUND(I186*TEChuilelourde,2)</f>
        <v>0.77</v>
      </c>
      <c r="L186" s="139"/>
      <c r="M186" s="248">
        <f>TIFBTS</f>
        <v>1.85</v>
      </c>
      <c r="N186" s="638"/>
      <c r="O186" s="655" t="str">
        <f>P</f>
        <v>. . .</v>
      </c>
      <c r="P186" s="234" t="str">
        <f>"(18)"</f>
        <v>(18)</v>
      </c>
      <c r="Q186" s="186">
        <f>SUM(I186:P186)*19.6%</f>
        <v>4.8235600000000005</v>
      </c>
      <c r="R186" s="186">
        <f>SUM(I186:P186)*13%</f>
        <v>3.1993</v>
      </c>
      <c r="S186" s="296"/>
      <c r="T186" s="411">
        <v>5704</v>
      </c>
      <c r="V186" s="11">
        <v>5733</v>
      </c>
      <c r="W186" s="157">
        <v>5948</v>
      </c>
      <c r="X186" s="157"/>
      <c r="Y186" s="141"/>
      <c r="Z186" s="141"/>
      <c r="AA186" s="141"/>
      <c r="AB186" s="19"/>
      <c r="AC186" s="20"/>
      <c r="AD186" s="21"/>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31"/>
    </row>
    <row r="187" spans="1:59" ht="12.75">
      <c r="A187" s="62">
        <v>85</v>
      </c>
      <c r="B187" s="74" t="s">
        <v>1470</v>
      </c>
      <c r="C187" s="91" t="s">
        <v>12</v>
      </c>
      <c r="D187" s="81"/>
      <c r="E187" s="432">
        <f>TEChuilelourde</f>
        <v>0.035</v>
      </c>
      <c r="F187" s="140"/>
      <c r="G187" s="373"/>
      <c r="H187" s="373"/>
      <c r="I187" s="532">
        <f>VFBS</f>
        <v>21.99</v>
      </c>
      <c r="J187" s="64" t="s">
        <v>1471</v>
      </c>
      <c r="K187" s="201">
        <f>ROUND(I187*TEChuilelourde,2)</f>
        <v>0.77</v>
      </c>
      <c r="L187" s="139"/>
      <c r="M187" s="248" t="s">
        <v>1472</v>
      </c>
      <c r="N187" s="638"/>
      <c r="O187" s="655" t="str">
        <f>P</f>
        <v>. . .</v>
      </c>
      <c r="P187" s="234" t="s">
        <v>1473</v>
      </c>
      <c r="Q187" s="186">
        <f>SUM(I187:P187)*19.6%</f>
        <v>4.46096</v>
      </c>
      <c r="R187" s="186">
        <f>SUM(I187:P187)*13%</f>
        <v>2.9587999999999997</v>
      </c>
      <c r="S187" s="296"/>
      <c r="W187" s="157">
        <v>5929</v>
      </c>
      <c r="X187" s="157"/>
      <c r="Y187" s="141"/>
      <c r="Z187" s="141"/>
      <c r="AA187" s="141"/>
      <c r="AB187" s="19"/>
      <c r="AC187" s="20"/>
      <c r="AD187" s="21"/>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31"/>
    </row>
    <row r="188" spans="1:92" s="412" customFormat="1" ht="12.75">
      <c r="A188" s="62"/>
      <c r="B188" s="74"/>
      <c r="C188" s="91"/>
      <c r="D188" s="675"/>
      <c r="E188" s="695"/>
      <c r="F188" s="240"/>
      <c r="G188" s="238"/>
      <c r="H188" s="238"/>
      <c r="I188" s="235"/>
      <c r="J188" s="235"/>
      <c r="K188" s="239"/>
      <c r="L188" s="239"/>
      <c r="M188" s="248"/>
      <c r="N188" s="31"/>
      <c r="O188" s="526"/>
      <c r="P188" s="240"/>
      <c r="Q188" s="186"/>
      <c r="R188" s="186"/>
      <c r="S188" s="296"/>
      <c r="T188" s="149"/>
      <c r="U188" s="150"/>
      <c r="V188" s="151"/>
      <c r="W188" s="152"/>
      <c r="X188" s="152"/>
      <c r="Y188" s="18">
        <v>9301</v>
      </c>
      <c r="Z188" s="18"/>
      <c r="AA188" s="141"/>
      <c r="AB188" s="19"/>
      <c r="AC188" s="20"/>
      <c r="AD188" s="21"/>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31"/>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row>
    <row r="189" spans="1:59" ht="12.75">
      <c r="A189" s="62"/>
      <c r="B189" s="74"/>
      <c r="C189" s="91" t="s">
        <v>1474</v>
      </c>
      <c r="D189" s="669"/>
      <c r="E189" s="432"/>
      <c r="F189" s="140"/>
      <c r="G189" s="372"/>
      <c r="H189" s="373"/>
      <c r="I189" s="532"/>
      <c r="J189" s="64"/>
      <c r="K189" s="201"/>
      <c r="L189" s="139"/>
      <c r="M189" s="248"/>
      <c r="N189" s="638"/>
      <c r="O189" s="655"/>
      <c r="P189" s="234"/>
      <c r="Q189" s="186"/>
      <c r="R189" s="186"/>
      <c r="S189" s="296"/>
      <c r="T189" s="149"/>
      <c r="U189" s="150"/>
      <c r="V189" s="151"/>
      <c r="W189" s="152"/>
      <c r="X189" s="152"/>
      <c r="Y189" s="141"/>
      <c r="Z189" s="413"/>
      <c r="AB189" s="19"/>
      <c r="AC189" s="20"/>
      <c r="AD189" s="21"/>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31"/>
    </row>
    <row r="190" spans="1:59" ht="12.75">
      <c r="A190" s="62"/>
      <c r="B190" s="74"/>
      <c r="C190" s="733" t="s">
        <v>1433</v>
      </c>
      <c r="D190" s="669"/>
      <c r="E190" s="432"/>
      <c r="F190" s="140"/>
      <c r="G190" s="372"/>
      <c r="H190" s="373"/>
      <c r="I190" s="532"/>
      <c r="J190" s="64"/>
      <c r="K190" s="201"/>
      <c r="L190" s="139"/>
      <c r="M190" s="248"/>
      <c r="N190" s="638"/>
      <c r="O190" s="655"/>
      <c r="P190" s="234"/>
      <c r="Q190" s="186"/>
      <c r="R190" s="186"/>
      <c r="S190" s="296"/>
      <c r="T190" s="149"/>
      <c r="U190" s="150"/>
      <c r="V190" s="151"/>
      <c r="W190" s="152"/>
      <c r="X190" s="152"/>
      <c r="Y190" s="141"/>
      <c r="Z190" s="413"/>
      <c r="AB190" s="19"/>
      <c r="AC190" s="20"/>
      <c r="AD190" s="21"/>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31"/>
    </row>
    <row r="191" spans="1:92" s="410" customFormat="1" ht="12.75">
      <c r="A191" s="62">
        <v>86</v>
      </c>
      <c r="B191" s="74" t="s">
        <v>1475</v>
      </c>
      <c r="C191" s="91" t="s">
        <v>1476</v>
      </c>
      <c r="D191" s="81" t="str">
        <f>P</f>
        <v>. . .</v>
      </c>
      <c r="E191" s="432">
        <f>TEChuilelourde</f>
        <v>0.035</v>
      </c>
      <c r="F191" s="140"/>
      <c r="G191" s="376" t="s">
        <v>1477</v>
      </c>
      <c r="H191" s="74" t="s">
        <v>1478</v>
      </c>
      <c r="I191" s="532">
        <f>VFFOD</f>
        <v>39.59</v>
      </c>
      <c r="J191" s="64" t="s">
        <v>1479</v>
      </c>
      <c r="K191" s="184">
        <f>ROUND(I191*TEChuilelourde,2)</f>
        <v>1.39</v>
      </c>
      <c r="L191" s="138"/>
      <c r="M191" s="248">
        <f>TIGO</f>
        <v>41.69</v>
      </c>
      <c r="N191" s="638"/>
      <c r="O191" s="655" t="str">
        <f>P</f>
        <v>. . .</v>
      </c>
      <c r="P191" s="234" t="s">
        <v>1480</v>
      </c>
      <c r="Q191" s="186">
        <f>TVAGOMETRO</f>
        <v>15.68784</v>
      </c>
      <c r="R191" s="186">
        <f>TVAGOCORSE</f>
        <v>10.405199999999999</v>
      </c>
      <c r="S191" s="414"/>
      <c r="T191" s="50">
        <v>5712</v>
      </c>
      <c r="U191" s="51"/>
      <c r="V191" s="11"/>
      <c r="W191" s="185">
        <v>5938</v>
      </c>
      <c r="X191" s="185"/>
      <c r="Y191" s="141">
        <v>9305</v>
      </c>
      <c r="Z191" s="141">
        <v>9301</v>
      </c>
      <c r="AA191" s="13"/>
      <c r="AB191" s="19"/>
      <c r="AC191" s="20"/>
      <c r="AD191" s="21"/>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31"/>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row>
    <row r="192" spans="1:59" ht="12.75">
      <c r="A192" s="305">
        <v>87</v>
      </c>
      <c r="B192" s="74" t="s">
        <v>1481</v>
      </c>
      <c r="C192" s="176" t="s">
        <v>1482</v>
      </c>
      <c r="D192" s="81"/>
      <c r="E192" s="432"/>
      <c r="F192" s="140"/>
      <c r="G192" s="372"/>
      <c r="H192" s="373"/>
      <c r="I192" s="532"/>
      <c r="J192" s="64"/>
      <c r="K192" s="201"/>
      <c r="L192" s="139"/>
      <c r="M192" s="248"/>
      <c r="N192" s="638"/>
      <c r="O192" s="655"/>
      <c r="P192" s="234"/>
      <c r="Q192" s="186"/>
      <c r="R192" s="186"/>
      <c r="S192" s="49"/>
      <c r="W192" s="157"/>
      <c r="X192" s="157"/>
      <c r="Y192" s="141">
        <v>9301</v>
      </c>
      <c r="Z192" s="141"/>
      <c r="AA192" s="413"/>
      <c r="AB192" s="19"/>
      <c r="AC192" s="20"/>
      <c r="AD192" s="21"/>
      <c r="AE192" s="22"/>
      <c r="AF192" s="22"/>
      <c r="AG192" s="22"/>
      <c r="AH192" s="206"/>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31"/>
    </row>
    <row r="193" spans="1:59" ht="12.75">
      <c r="A193" s="305"/>
      <c r="B193" s="74"/>
      <c r="C193" s="176" t="s">
        <v>1483</v>
      </c>
      <c r="D193" s="81" t="str">
        <f>P</f>
        <v>. . .</v>
      </c>
      <c r="E193" s="432">
        <f>TEChuilelourde</f>
        <v>0.035</v>
      </c>
      <c r="F193" s="140"/>
      <c r="G193" s="372" t="s">
        <v>1484</v>
      </c>
      <c r="H193" s="373" t="s">
        <v>1485</v>
      </c>
      <c r="I193" s="532">
        <f>VFBS</f>
        <v>21.99</v>
      </c>
      <c r="J193" s="64" t="s">
        <v>1486</v>
      </c>
      <c r="K193" s="201">
        <f>ROUND(I193*TEChuilelourde,2)</f>
        <v>0.77</v>
      </c>
      <c r="L193" s="139"/>
      <c r="M193" s="248" t="s">
        <v>1487</v>
      </c>
      <c r="N193" s="638"/>
      <c r="O193" s="655" t="str">
        <f>P</f>
        <v>. . .</v>
      </c>
      <c r="P193" s="234" t="str">
        <f>P</f>
        <v>. . .</v>
      </c>
      <c r="Q193" s="186">
        <f>TVAFLBTSAUTREMETRO</f>
        <v>4.46096</v>
      </c>
      <c r="R193" s="186">
        <f>TVAFLBTSAUTRECORSE</f>
        <v>2.9587999999999997</v>
      </c>
      <c r="S193" s="49"/>
      <c r="W193" s="157">
        <v>5929</v>
      </c>
      <c r="X193" s="157"/>
      <c r="Y193" s="141">
        <v>4012</v>
      </c>
      <c r="Z193" s="141">
        <v>9301</v>
      </c>
      <c r="AA193" s="413"/>
      <c r="AB193" s="19"/>
      <c r="AC193" s="20"/>
      <c r="AD193" s="403"/>
      <c r="AE193" s="338"/>
      <c r="AF193" s="338"/>
      <c r="AG193" s="338"/>
      <c r="AH193" s="338"/>
      <c r="AI193" s="338"/>
      <c r="AJ193" s="338"/>
      <c r="AK193" s="338"/>
      <c r="AL193" s="338"/>
      <c r="AM193" s="338"/>
      <c r="AN193" s="338"/>
      <c r="AO193" s="338"/>
      <c r="AP193" s="338"/>
      <c r="AQ193" s="338"/>
      <c r="AR193" s="338"/>
      <c r="AS193" s="338"/>
      <c r="AT193" s="338"/>
      <c r="AU193" s="338"/>
      <c r="AV193" s="338"/>
      <c r="AW193" s="338"/>
      <c r="AX193" s="338"/>
      <c r="AY193" s="338"/>
      <c r="AZ193" s="338"/>
      <c r="BA193" s="338"/>
      <c r="BB193" s="338"/>
      <c r="BC193" s="338"/>
      <c r="BD193" s="338"/>
      <c r="BE193" s="338"/>
      <c r="BF193" s="338"/>
      <c r="BG193" s="337"/>
    </row>
    <row r="194" spans="1:59" ht="12.75">
      <c r="A194" s="62">
        <v>88</v>
      </c>
      <c r="B194" s="74" t="s">
        <v>1488</v>
      </c>
      <c r="C194" s="91" t="s">
        <v>1489</v>
      </c>
      <c r="D194" s="81" t="s">
        <v>1490</v>
      </c>
      <c r="E194" s="432">
        <f>TEChuilelourde</f>
        <v>0.035</v>
      </c>
      <c r="F194" s="140"/>
      <c r="G194" s="372"/>
      <c r="H194" s="373"/>
      <c r="I194" s="532">
        <f>VFBS</f>
        <v>21.99</v>
      </c>
      <c r="J194" s="64" t="s">
        <v>1491</v>
      </c>
      <c r="K194" s="201">
        <f>ROUND(I194*TEChuilelourde,2)</f>
        <v>0.77</v>
      </c>
      <c r="L194" s="139"/>
      <c r="M194" s="248">
        <f>TIFBTS</f>
        <v>1.85</v>
      </c>
      <c r="N194" s="638"/>
      <c r="O194" s="655" t="str">
        <f>P</f>
        <v>. . .</v>
      </c>
      <c r="P194" s="234" t="str">
        <f>"(18)"</f>
        <v>(18)</v>
      </c>
      <c r="Q194" s="186">
        <f>TVAFLBTSMETRO</f>
        <v>4.8235600000000005</v>
      </c>
      <c r="R194" s="186">
        <f>TVAFLBTSCORSE</f>
        <v>3.1993</v>
      </c>
      <c r="S194" s="156"/>
      <c r="T194" s="149">
        <v>5704</v>
      </c>
      <c r="U194" s="150"/>
      <c r="V194" s="151">
        <v>5733</v>
      </c>
      <c r="W194" s="157">
        <v>5948</v>
      </c>
      <c r="X194" s="157"/>
      <c r="Y194" s="141"/>
      <c r="Z194" s="141"/>
      <c r="AA194" s="413"/>
      <c r="AB194" s="19"/>
      <c r="AC194" s="20"/>
      <c r="AD194" s="403"/>
      <c r="AE194" s="338"/>
      <c r="AF194" s="338"/>
      <c r="AG194" s="338"/>
      <c r="AH194" s="338"/>
      <c r="AI194" s="338"/>
      <c r="AJ194" s="338"/>
      <c r="AK194" s="338"/>
      <c r="AL194" s="338"/>
      <c r="AM194" s="338"/>
      <c r="AN194" s="338"/>
      <c r="AO194" s="338"/>
      <c r="AP194" s="338"/>
      <c r="AQ194" s="338"/>
      <c r="AR194" s="338"/>
      <c r="AS194" s="338"/>
      <c r="AT194" s="338"/>
      <c r="AU194" s="338"/>
      <c r="AV194" s="338"/>
      <c r="AW194" s="338"/>
      <c r="AX194" s="338"/>
      <c r="AY194" s="338"/>
      <c r="AZ194" s="338"/>
      <c r="BA194" s="338"/>
      <c r="BB194" s="338"/>
      <c r="BC194" s="338"/>
      <c r="BD194" s="338"/>
      <c r="BE194" s="338"/>
      <c r="BF194" s="338"/>
      <c r="BG194" s="337"/>
    </row>
    <row r="195" spans="1:59" ht="12.75">
      <c r="A195" s="62">
        <v>89</v>
      </c>
      <c r="B195" s="74" t="s">
        <v>1492</v>
      </c>
      <c r="C195" s="91" t="s">
        <v>1493</v>
      </c>
      <c r="D195" s="81" t="str">
        <f>P</f>
        <v>. . .</v>
      </c>
      <c r="E195" s="432">
        <f>TEChuilelourde</f>
        <v>0.035</v>
      </c>
      <c r="F195" s="140"/>
      <c r="G195" s="372" t="s">
        <v>1494</v>
      </c>
      <c r="H195" s="373" t="s">
        <v>1495</v>
      </c>
      <c r="I195" s="532">
        <f>VFBS</f>
        <v>21.99</v>
      </c>
      <c r="J195" s="64" t="s">
        <v>1496</v>
      </c>
      <c r="K195" s="201">
        <f>ROUND(I195*TEChuilelourde,2)</f>
        <v>0.77</v>
      </c>
      <c r="L195" s="139"/>
      <c r="M195" s="248" t="s">
        <v>1497</v>
      </c>
      <c r="N195" s="638"/>
      <c r="O195" s="655" t="str">
        <f>P</f>
        <v>. . .</v>
      </c>
      <c r="P195" s="234" t="s">
        <v>1498</v>
      </c>
      <c r="Q195" s="186">
        <f>TVAFLBTSAUTREMETRO</f>
        <v>4.46096</v>
      </c>
      <c r="R195" s="186">
        <f>TVAFLBTSAUTRECORSE</f>
        <v>2.9587999999999997</v>
      </c>
      <c r="S195" s="415"/>
      <c r="W195" s="157">
        <v>5929</v>
      </c>
      <c r="X195" s="157"/>
      <c r="Y195" s="141"/>
      <c r="Z195" s="141"/>
      <c r="AA195" s="141"/>
      <c r="AB195" s="19"/>
      <c r="AC195" s="20"/>
      <c r="AD195" s="403"/>
      <c r="AE195" s="338"/>
      <c r="AF195" s="338"/>
      <c r="AG195" s="338"/>
      <c r="AH195" s="338"/>
      <c r="AI195" s="338"/>
      <c r="AJ195" s="338"/>
      <c r="AK195" s="338"/>
      <c r="AL195" s="338"/>
      <c r="AM195" s="338"/>
      <c r="AN195" s="338"/>
      <c r="AO195" s="338"/>
      <c r="AP195" s="338"/>
      <c r="AQ195" s="338"/>
      <c r="AR195" s="338"/>
      <c r="AS195" s="338"/>
      <c r="AT195" s="338"/>
      <c r="AU195" s="338"/>
      <c r="AV195" s="338"/>
      <c r="AW195" s="338"/>
      <c r="AX195" s="338"/>
      <c r="AY195" s="338"/>
      <c r="AZ195" s="338"/>
      <c r="BA195" s="338"/>
      <c r="BB195" s="338"/>
      <c r="BC195" s="338"/>
      <c r="BD195" s="338"/>
      <c r="BE195" s="338"/>
      <c r="BF195" s="338"/>
      <c r="BG195" s="337"/>
    </row>
    <row r="196" spans="1:59" ht="12.75">
      <c r="A196" s="62"/>
      <c r="B196" s="74"/>
      <c r="C196" s="91" t="s">
        <v>1499</v>
      </c>
      <c r="D196" s="81"/>
      <c r="E196" s="432"/>
      <c r="F196" s="140"/>
      <c r="G196" s="373"/>
      <c r="H196" s="373"/>
      <c r="I196" s="532"/>
      <c r="J196" s="64"/>
      <c r="K196" s="201"/>
      <c r="L196" s="139"/>
      <c r="M196" s="248"/>
      <c r="N196" s="638"/>
      <c r="O196" s="655"/>
      <c r="P196" s="234"/>
      <c r="Q196" s="186"/>
      <c r="R196" s="186"/>
      <c r="S196" s="415"/>
      <c r="W196" s="157"/>
      <c r="X196" s="157"/>
      <c r="Y196" s="141"/>
      <c r="Z196" s="141"/>
      <c r="AA196" s="141"/>
      <c r="AB196" s="19"/>
      <c r="AC196" s="20"/>
      <c r="AD196" s="403"/>
      <c r="AE196" s="338"/>
      <c r="AF196" s="338"/>
      <c r="AG196" s="338"/>
      <c r="AH196" s="338"/>
      <c r="AI196" s="338"/>
      <c r="AJ196" s="338"/>
      <c r="AK196" s="338"/>
      <c r="AL196" s="338"/>
      <c r="AM196" s="338"/>
      <c r="AN196" s="338"/>
      <c r="AO196" s="338"/>
      <c r="AP196" s="338"/>
      <c r="AQ196" s="338"/>
      <c r="AR196" s="338"/>
      <c r="AS196" s="338"/>
      <c r="AT196" s="338"/>
      <c r="AU196" s="338"/>
      <c r="AV196" s="338"/>
      <c r="AW196" s="338"/>
      <c r="AX196" s="338"/>
      <c r="AY196" s="338"/>
      <c r="AZ196" s="338"/>
      <c r="BA196" s="338"/>
      <c r="BB196" s="338"/>
      <c r="BC196" s="338"/>
      <c r="BD196" s="338"/>
      <c r="BE196" s="338"/>
      <c r="BF196" s="338"/>
      <c r="BG196" s="337"/>
    </row>
    <row r="197" spans="1:59" ht="12.75">
      <c r="A197" s="62">
        <v>90</v>
      </c>
      <c r="B197" s="74" t="s">
        <v>1500</v>
      </c>
      <c r="C197" s="91" t="s">
        <v>1501</v>
      </c>
      <c r="D197" s="81" t="str">
        <f>P</f>
        <v>. . .</v>
      </c>
      <c r="E197" s="432">
        <f>TEChuilelourde</f>
        <v>0.035</v>
      </c>
      <c r="F197" s="140"/>
      <c r="G197" s="376" t="s">
        <v>1502</v>
      </c>
      <c r="H197" s="74" t="s">
        <v>1503</v>
      </c>
      <c r="I197" s="532">
        <f>VFFOD</f>
        <v>39.59</v>
      </c>
      <c r="J197" s="64" t="s">
        <v>1504</v>
      </c>
      <c r="K197" s="184">
        <f>ROUND(I197*TEChuilelourde,2)</f>
        <v>1.39</v>
      </c>
      <c r="L197" s="138"/>
      <c r="M197" s="248">
        <f>TIGO</f>
        <v>41.69</v>
      </c>
      <c r="N197" s="638"/>
      <c r="O197" s="655" t="str">
        <f>P</f>
        <v>. . .</v>
      </c>
      <c r="P197" s="234" t="s">
        <v>1505</v>
      </c>
      <c r="Q197" s="186">
        <f>TVAGOMETRO</f>
        <v>15.68784</v>
      </c>
      <c r="R197" s="186">
        <f>TVAGOCORSE</f>
        <v>10.405199999999999</v>
      </c>
      <c r="S197" s="415"/>
      <c r="T197" s="411">
        <v>5712</v>
      </c>
      <c r="W197" s="157">
        <v>5938</v>
      </c>
      <c r="X197" s="157"/>
      <c r="Y197" s="141"/>
      <c r="Z197" s="141"/>
      <c r="AA197" s="141"/>
      <c r="AB197" s="19"/>
      <c r="AC197" s="20"/>
      <c r="AD197" s="403"/>
      <c r="AE197" s="338"/>
      <c r="AF197" s="338"/>
      <c r="AG197" s="338"/>
      <c r="AH197" s="338"/>
      <c r="AI197" s="338"/>
      <c r="AJ197" s="338"/>
      <c r="AK197" s="338"/>
      <c r="AL197" s="338"/>
      <c r="AM197" s="338"/>
      <c r="AN197" s="338"/>
      <c r="AO197" s="338"/>
      <c r="AP197" s="338"/>
      <c r="AQ197" s="338"/>
      <c r="AR197" s="338"/>
      <c r="AS197" s="338"/>
      <c r="AT197" s="338"/>
      <c r="AU197" s="338"/>
      <c r="AV197" s="338"/>
      <c r="AW197" s="338"/>
      <c r="AX197" s="338"/>
      <c r="AY197" s="338"/>
      <c r="AZ197" s="338"/>
      <c r="BA197" s="338"/>
      <c r="BB197" s="338"/>
      <c r="BC197" s="338"/>
      <c r="BD197" s="338"/>
      <c r="BE197" s="338"/>
      <c r="BF197" s="338"/>
      <c r="BG197" s="337"/>
    </row>
    <row r="198" spans="1:59" ht="12.75">
      <c r="A198" s="62">
        <v>91</v>
      </c>
      <c r="B198" s="74" t="s">
        <v>1521</v>
      </c>
      <c r="C198" s="176" t="s">
        <v>1522</v>
      </c>
      <c r="D198" s="81"/>
      <c r="E198" s="432"/>
      <c r="F198" s="140"/>
      <c r="G198" s="372"/>
      <c r="H198" s="373"/>
      <c r="I198" s="532"/>
      <c r="J198" s="64"/>
      <c r="K198" s="201"/>
      <c r="L198" s="139"/>
      <c r="M198" s="248"/>
      <c r="N198" s="638"/>
      <c r="O198" s="655"/>
      <c r="P198" s="234"/>
      <c r="Q198" s="186"/>
      <c r="R198" s="186"/>
      <c r="S198" s="415"/>
      <c r="W198" s="157">
        <v>5929</v>
      </c>
      <c r="X198" s="157"/>
      <c r="Y198" s="141"/>
      <c r="Z198" s="141"/>
      <c r="AA198" s="141"/>
      <c r="AB198" s="19"/>
      <c r="AC198" s="20"/>
      <c r="AD198" s="403"/>
      <c r="AE198" s="338"/>
      <c r="AF198" s="338"/>
      <c r="AG198" s="338"/>
      <c r="AH198" s="338"/>
      <c r="AI198" s="338"/>
      <c r="AJ198" s="338"/>
      <c r="AK198" s="338"/>
      <c r="AL198" s="338"/>
      <c r="AM198" s="338"/>
      <c r="AN198" s="338"/>
      <c r="AO198" s="338"/>
      <c r="AP198" s="338"/>
      <c r="AQ198" s="338"/>
      <c r="AR198" s="338"/>
      <c r="AS198" s="338"/>
      <c r="AT198" s="338"/>
      <c r="AU198" s="338"/>
      <c r="AV198" s="338"/>
      <c r="AW198" s="338"/>
      <c r="AX198" s="338"/>
      <c r="AY198" s="338"/>
      <c r="AZ198" s="338"/>
      <c r="BA198" s="338"/>
      <c r="BB198" s="338"/>
      <c r="BC198" s="338"/>
      <c r="BD198" s="338"/>
      <c r="BE198" s="338"/>
      <c r="BF198" s="338"/>
      <c r="BG198" s="337"/>
    </row>
    <row r="199" spans="1:59" ht="12.75">
      <c r="A199" s="62"/>
      <c r="B199" s="74"/>
      <c r="C199" s="176" t="s">
        <v>1523</v>
      </c>
      <c r="D199" s="81" t="str">
        <f>P</f>
        <v>. . .</v>
      </c>
      <c r="E199" s="432">
        <f>TEChuilelourde</f>
        <v>0.035</v>
      </c>
      <c r="F199" s="140"/>
      <c r="G199" s="372" t="s">
        <v>1524</v>
      </c>
      <c r="H199" s="373" t="s">
        <v>1525</v>
      </c>
      <c r="I199" s="532">
        <f>VFBS</f>
        <v>21.99</v>
      </c>
      <c r="J199" s="64" t="s">
        <v>1526</v>
      </c>
      <c r="K199" s="201">
        <f>ROUND(I199*TEChuilelourde,2)</f>
        <v>0.77</v>
      </c>
      <c r="L199" s="139"/>
      <c r="M199" s="248" t="s">
        <v>1527</v>
      </c>
      <c r="N199" s="638"/>
      <c r="O199" s="655" t="str">
        <f>P</f>
        <v>. . .</v>
      </c>
      <c r="P199" s="234" t="str">
        <f>P</f>
        <v>. . .</v>
      </c>
      <c r="Q199" s="186">
        <f>TVAFLBTSAUTREMETRO</f>
        <v>4.46096</v>
      </c>
      <c r="R199" s="186">
        <f>TVAFLBTSAUTRECORSE</f>
        <v>2.9587999999999997</v>
      </c>
      <c r="S199" s="415"/>
      <c r="T199" s="411">
        <v>5704</v>
      </c>
      <c r="V199" s="11">
        <v>5733</v>
      </c>
      <c r="W199" s="157">
        <v>5948</v>
      </c>
      <c r="X199" s="157"/>
      <c r="Y199" s="141"/>
      <c r="Z199" s="141"/>
      <c r="AA199" s="141"/>
      <c r="AB199" s="19"/>
      <c r="AC199" s="20"/>
      <c r="AD199" s="403"/>
      <c r="AE199" s="338"/>
      <c r="AF199" s="338"/>
      <c r="AG199" s="338"/>
      <c r="AH199" s="338"/>
      <c r="AI199" s="338"/>
      <c r="AJ199" s="338"/>
      <c r="AK199" s="338"/>
      <c r="AL199" s="338"/>
      <c r="AM199" s="338"/>
      <c r="AN199" s="338"/>
      <c r="AO199" s="338"/>
      <c r="AP199" s="338"/>
      <c r="AQ199" s="338"/>
      <c r="AR199" s="338"/>
      <c r="AS199" s="338"/>
      <c r="AT199" s="338"/>
      <c r="AU199" s="338"/>
      <c r="AV199" s="338"/>
      <c r="AW199" s="338"/>
      <c r="AX199" s="338"/>
      <c r="AY199" s="338"/>
      <c r="AZ199" s="338"/>
      <c r="BA199" s="338"/>
      <c r="BB199" s="338"/>
      <c r="BC199" s="338"/>
      <c r="BD199" s="338"/>
      <c r="BE199" s="338"/>
      <c r="BF199" s="338"/>
      <c r="BG199" s="337"/>
    </row>
    <row r="200" spans="1:59" ht="12.75">
      <c r="A200" s="62">
        <v>92</v>
      </c>
      <c r="B200" s="74" t="s">
        <v>1528</v>
      </c>
      <c r="C200" s="91" t="s">
        <v>1529</v>
      </c>
      <c r="D200" s="81" t="s">
        <v>1530</v>
      </c>
      <c r="E200" s="432">
        <f>TEChuilelourde</f>
        <v>0.035</v>
      </c>
      <c r="F200" s="140"/>
      <c r="G200" s="372"/>
      <c r="H200" s="373"/>
      <c r="I200" s="532">
        <f>VFBS</f>
        <v>21.99</v>
      </c>
      <c r="J200" s="64" t="s">
        <v>1531</v>
      </c>
      <c r="K200" s="201">
        <f>ROUND(I200*TEChuilelourde,2)</f>
        <v>0.77</v>
      </c>
      <c r="L200" s="139"/>
      <c r="M200" s="248">
        <f>TIFBTS</f>
        <v>1.85</v>
      </c>
      <c r="N200" s="638"/>
      <c r="O200" s="655" t="str">
        <f>P</f>
        <v>. . .</v>
      </c>
      <c r="P200" s="234" t="str">
        <f>"(18)"</f>
        <v>(18)</v>
      </c>
      <c r="Q200" s="186">
        <f>TVAFLBTSMETRO</f>
        <v>4.8235600000000005</v>
      </c>
      <c r="R200" s="186">
        <f>TVAFLBTSCORSE</f>
        <v>3.1993</v>
      </c>
      <c r="S200" s="415"/>
      <c r="W200" s="157"/>
      <c r="X200" s="157"/>
      <c r="Y200" s="141"/>
      <c r="Z200" s="141"/>
      <c r="AA200" s="141"/>
      <c r="AB200" s="19"/>
      <c r="AC200" s="20"/>
      <c r="AD200" s="403"/>
      <c r="AE200" s="338"/>
      <c r="AF200" s="338"/>
      <c r="AG200" s="338"/>
      <c r="AH200" s="338"/>
      <c r="AI200" s="338"/>
      <c r="AJ200" s="338"/>
      <c r="AK200" s="338"/>
      <c r="AL200" s="338"/>
      <c r="AM200" s="338"/>
      <c r="AN200" s="338"/>
      <c r="AO200" s="338"/>
      <c r="AP200" s="338"/>
      <c r="AQ200" s="338"/>
      <c r="AR200" s="338"/>
      <c r="AS200" s="338"/>
      <c r="AT200" s="338"/>
      <c r="AU200" s="338"/>
      <c r="AV200" s="338"/>
      <c r="AW200" s="338"/>
      <c r="AX200" s="338"/>
      <c r="AY200" s="338"/>
      <c r="AZ200" s="338"/>
      <c r="BA200" s="338"/>
      <c r="BB200" s="338"/>
      <c r="BC200" s="338"/>
      <c r="BD200" s="338"/>
      <c r="BE200" s="338"/>
      <c r="BF200" s="338"/>
      <c r="BG200" s="337"/>
    </row>
    <row r="201" spans="1:92" s="429" customFormat="1" ht="13.5" thickBot="1">
      <c r="A201" s="187">
        <v>93</v>
      </c>
      <c r="B201" s="416" t="s">
        <v>1532</v>
      </c>
      <c r="C201" s="405" t="s">
        <v>1533</v>
      </c>
      <c r="D201" s="674" t="str">
        <f>P</f>
        <v>. . .</v>
      </c>
      <c r="E201" s="689">
        <f>TEChuilelourde</f>
        <v>0.035</v>
      </c>
      <c r="F201" s="690"/>
      <c r="G201" s="406" t="s">
        <v>1534</v>
      </c>
      <c r="H201" s="378" t="s">
        <v>1535</v>
      </c>
      <c r="I201" s="656">
        <f>VFBS</f>
        <v>21.99</v>
      </c>
      <c r="J201" s="708" t="s">
        <v>1536</v>
      </c>
      <c r="K201" s="342">
        <f>ROUND(I201*TEChuilelourde,2)</f>
        <v>0.77</v>
      </c>
      <c r="L201" s="193"/>
      <c r="M201" s="194" t="s">
        <v>1537</v>
      </c>
      <c r="N201" s="641"/>
      <c r="O201" s="662" t="str">
        <f>P</f>
        <v>. . .</v>
      </c>
      <c r="P201" s="644" t="s">
        <v>1538</v>
      </c>
      <c r="Q201" s="343">
        <f>TVAFLBTSAUTREMETRO</f>
        <v>4.46096</v>
      </c>
      <c r="R201" s="343">
        <f>TVAFLBTSAUTRECORSE</f>
        <v>2.9587999999999997</v>
      </c>
      <c r="S201" s="417"/>
      <c r="T201" s="418"/>
      <c r="U201" s="419"/>
      <c r="V201" s="420"/>
      <c r="W201" s="421">
        <v>5929</v>
      </c>
      <c r="X201" s="421"/>
      <c r="Y201" s="422"/>
      <c r="Z201" s="422"/>
      <c r="AA201" s="422"/>
      <c r="AB201" s="423"/>
      <c r="AC201" s="424"/>
      <c r="AD201" s="425"/>
      <c r="AE201" s="426"/>
      <c r="AF201" s="426"/>
      <c r="AG201" s="426"/>
      <c r="AH201" s="426"/>
      <c r="AI201" s="426"/>
      <c r="AJ201" s="426"/>
      <c r="AK201" s="426"/>
      <c r="AL201" s="426"/>
      <c r="AM201" s="426"/>
      <c r="AN201" s="426"/>
      <c r="AO201" s="426"/>
      <c r="AP201" s="426"/>
      <c r="AQ201" s="426"/>
      <c r="AR201" s="426"/>
      <c r="AS201" s="426"/>
      <c r="AT201" s="426"/>
      <c r="AU201" s="426"/>
      <c r="AV201" s="426"/>
      <c r="AW201" s="426"/>
      <c r="AX201" s="426"/>
      <c r="AY201" s="426"/>
      <c r="AZ201" s="426"/>
      <c r="BA201" s="426"/>
      <c r="BB201" s="426"/>
      <c r="BC201" s="426"/>
      <c r="BD201" s="426"/>
      <c r="BE201" s="426"/>
      <c r="BF201" s="426"/>
      <c r="BG201" s="427"/>
      <c r="BH201" s="428"/>
      <c r="BI201" s="428"/>
      <c r="BJ201" s="428"/>
      <c r="BK201" s="428"/>
      <c r="BL201" s="428"/>
      <c r="BM201" s="428"/>
      <c r="BN201" s="428"/>
      <c r="BO201" s="428"/>
      <c r="BP201" s="428"/>
      <c r="BQ201" s="428"/>
      <c r="BR201" s="428"/>
      <c r="BS201" s="428"/>
      <c r="BT201" s="428"/>
      <c r="BU201" s="428"/>
      <c r="BV201" s="428"/>
      <c r="BW201" s="428"/>
      <c r="BX201" s="428"/>
      <c r="BY201" s="428"/>
      <c r="BZ201" s="428"/>
      <c r="CA201" s="428"/>
      <c r="CB201" s="428"/>
      <c r="CC201" s="428"/>
      <c r="CD201" s="428"/>
      <c r="CE201" s="428"/>
      <c r="CF201" s="428"/>
      <c r="CG201" s="428"/>
      <c r="CH201" s="428"/>
      <c r="CI201" s="428"/>
      <c r="CJ201" s="428"/>
      <c r="CK201" s="428"/>
      <c r="CL201" s="428"/>
      <c r="CM201" s="428"/>
      <c r="CN201" s="428"/>
    </row>
    <row r="202" spans="1:92" s="412" customFormat="1" ht="12.75">
      <c r="A202" s="62"/>
      <c r="B202" s="74"/>
      <c r="C202" s="91"/>
      <c r="D202" s="430"/>
      <c r="E202" s="431"/>
      <c r="F202" s="702"/>
      <c r="I202" s="714"/>
      <c r="J202" s="714"/>
      <c r="M202" s="248"/>
      <c r="N202" s="642"/>
      <c r="O202" s="147"/>
      <c r="P202" s="735"/>
      <c r="Q202" s="734"/>
      <c r="R202" s="186"/>
      <c r="S202" s="415"/>
      <c r="T202" s="9"/>
      <c r="U202" s="10"/>
      <c r="V202" s="11"/>
      <c r="W202" s="157"/>
      <c r="X202" s="157"/>
      <c r="Y202" s="13">
        <v>9301</v>
      </c>
      <c r="Z202" s="13"/>
      <c r="AA202" s="141"/>
      <c r="AB202" s="19"/>
      <c r="AC202" s="20"/>
      <c r="AD202" s="21"/>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31"/>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row>
    <row r="203" spans="1:59" ht="12" customHeight="1">
      <c r="A203" s="62"/>
      <c r="B203" s="74"/>
      <c r="C203" s="91" t="s">
        <v>1539</v>
      </c>
      <c r="D203" s="669"/>
      <c r="E203" s="432"/>
      <c r="F203" s="140"/>
      <c r="G203" s="373"/>
      <c r="H203" s="373"/>
      <c r="I203" s="532"/>
      <c r="J203" s="64"/>
      <c r="K203" s="201"/>
      <c r="L203" s="139"/>
      <c r="M203" s="248"/>
      <c r="N203" s="148"/>
      <c r="O203" s="655"/>
      <c r="P203" s="532"/>
      <c r="Q203" s="734"/>
      <c r="R203" s="186"/>
      <c r="S203" s="433"/>
      <c r="T203" s="149"/>
      <c r="U203" s="150"/>
      <c r="V203" s="151"/>
      <c r="W203" s="152"/>
      <c r="X203" s="152"/>
      <c r="Y203" s="141">
        <v>9301</v>
      </c>
      <c r="Z203" s="141"/>
      <c r="AA203" s="413"/>
      <c r="AB203" s="19"/>
      <c r="AC203" s="20"/>
      <c r="AD203" s="21"/>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31"/>
    </row>
    <row r="204" spans="1:59" ht="12.75">
      <c r="A204" s="434">
        <v>94</v>
      </c>
      <c r="B204" s="74" t="s">
        <v>1540</v>
      </c>
      <c r="C204" s="91" t="s">
        <v>1541</v>
      </c>
      <c r="D204" s="81" t="str">
        <f>P</f>
        <v>. . .</v>
      </c>
      <c r="E204" s="432">
        <f>TEChuilelourde</f>
        <v>0.035</v>
      </c>
      <c r="F204" s="140"/>
      <c r="G204" s="376" t="s">
        <v>1542</v>
      </c>
      <c r="H204" s="74" t="s">
        <v>1543</v>
      </c>
      <c r="I204" s="532">
        <f>VFFOD</f>
        <v>39.59</v>
      </c>
      <c r="J204" s="64" t="s">
        <v>1544</v>
      </c>
      <c r="K204" s="184">
        <f>ROUND(I204*TEChuilelourde,2)</f>
        <v>1.39</v>
      </c>
      <c r="L204" s="138"/>
      <c r="M204" s="248">
        <f>TIGO</f>
        <v>41.69</v>
      </c>
      <c r="N204" s="638"/>
      <c r="O204" s="655" t="str">
        <f>P</f>
        <v>. . .</v>
      </c>
      <c r="P204" s="234" t="s">
        <v>1545</v>
      </c>
      <c r="Q204" s="186">
        <f>TVAGOMETRO</f>
        <v>15.68784</v>
      </c>
      <c r="R204" s="186">
        <f>TVAGOCORSE</f>
        <v>10.405199999999999</v>
      </c>
      <c r="S204" s="414"/>
      <c r="T204" s="311">
        <v>5712</v>
      </c>
      <c r="U204" s="312"/>
      <c r="W204" s="309">
        <v>5938</v>
      </c>
      <c r="X204" s="309"/>
      <c r="Y204" s="141">
        <v>4012</v>
      </c>
      <c r="Z204" s="141">
        <v>9301</v>
      </c>
      <c r="AA204" s="413"/>
      <c r="AB204" s="19"/>
      <c r="AC204" s="20"/>
      <c r="AD204" s="21"/>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31"/>
    </row>
    <row r="205" spans="1:59" ht="12.75">
      <c r="A205" s="434">
        <v>95</v>
      </c>
      <c r="B205" s="74" t="s">
        <v>1546</v>
      </c>
      <c r="C205" s="91" t="s">
        <v>1547</v>
      </c>
      <c r="D205" s="81" t="s">
        <v>1548</v>
      </c>
      <c r="E205" s="432">
        <f>TEChuilelourde</f>
        <v>0.035</v>
      </c>
      <c r="F205" s="140"/>
      <c r="G205" s="372"/>
      <c r="H205" s="373"/>
      <c r="I205" s="532">
        <f>VFFHS</f>
        <v>19.27</v>
      </c>
      <c r="J205" s="64" t="s">
        <v>1549</v>
      </c>
      <c r="K205" s="201">
        <f>ROUND(I205*TEChuilelourde,2)</f>
        <v>0.67</v>
      </c>
      <c r="L205" s="139"/>
      <c r="M205" s="248">
        <f>TIFBTS</f>
        <v>1.85</v>
      </c>
      <c r="N205" s="638"/>
      <c r="O205" s="655" t="str">
        <f>P</f>
        <v>. . .</v>
      </c>
      <c r="P205" s="234" t="str">
        <f>"(18)"</f>
        <v>(18)</v>
      </c>
      <c r="Q205" s="186">
        <f>SUM(I205:P205)*19.6%</f>
        <v>4.270840000000001</v>
      </c>
      <c r="R205" s="186">
        <f>SUM(I205:P205)*13%</f>
        <v>2.8327000000000004</v>
      </c>
      <c r="S205" s="415"/>
      <c r="T205" s="149">
        <v>5704</v>
      </c>
      <c r="U205" s="150"/>
      <c r="V205" s="151">
        <v>5733</v>
      </c>
      <c r="W205" s="157">
        <v>5932</v>
      </c>
      <c r="X205" s="157"/>
      <c r="Y205" s="141"/>
      <c r="Z205" s="141"/>
      <c r="AA205" s="141"/>
      <c r="AB205" s="19"/>
      <c r="AC205" s="20"/>
      <c r="AD205" s="21"/>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31"/>
    </row>
    <row r="206" spans="1:59" ht="12.75">
      <c r="A206" s="435">
        <v>96</v>
      </c>
      <c r="B206" s="74" t="s">
        <v>1550</v>
      </c>
      <c r="C206" s="91" t="s">
        <v>1551</v>
      </c>
      <c r="D206" s="669" t="str">
        <f>P</f>
        <v>. . .</v>
      </c>
      <c r="E206" s="432">
        <f>TEChuilelourde</f>
        <v>0.035</v>
      </c>
      <c r="F206" s="140"/>
      <c r="G206" s="372" t="s">
        <v>1552</v>
      </c>
      <c r="H206" s="373" t="s">
        <v>1553</v>
      </c>
      <c r="I206" s="532">
        <f>VFFHS</f>
        <v>19.27</v>
      </c>
      <c r="J206" s="64" t="s">
        <v>1554</v>
      </c>
      <c r="K206" s="201">
        <f>ROUND(I206*TEChuilelourde,2)</f>
        <v>0.67</v>
      </c>
      <c r="L206" s="139"/>
      <c r="M206" s="248" t="s">
        <v>1555</v>
      </c>
      <c r="N206" s="638"/>
      <c r="O206" s="655" t="str">
        <f>P</f>
        <v>. . .</v>
      </c>
      <c r="P206" s="234" t="s">
        <v>1556</v>
      </c>
      <c r="Q206" s="186">
        <f>SUM(I206:P206)*19.6%</f>
        <v>3.9082400000000006</v>
      </c>
      <c r="R206" s="186">
        <f>SUM(I206:P206)*13%</f>
        <v>2.5922</v>
      </c>
      <c r="S206" s="415"/>
      <c r="W206" s="157">
        <v>5949</v>
      </c>
      <c r="X206" s="157"/>
      <c r="Y206" s="141"/>
      <c r="Z206" s="141"/>
      <c r="AA206" s="141"/>
      <c r="AB206" s="19"/>
      <c r="AC206" s="20"/>
      <c r="AD206" s="21"/>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31"/>
    </row>
    <row r="207" spans="1:59" ht="12.75">
      <c r="A207" s="436"/>
      <c r="B207" s="74"/>
      <c r="C207" s="91" t="s">
        <v>1557</v>
      </c>
      <c r="D207" s="669"/>
      <c r="E207" s="432"/>
      <c r="F207" s="140"/>
      <c r="G207" s="373"/>
      <c r="H207" s="373"/>
      <c r="I207" s="532"/>
      <c r="J207" s="64"/>
      <c r="K207" s="201"/>
      <c r="L207" s="139"/>
      <c r="M207" s="248"/>
      <c r="N207" s="638"/>
      <c r="O207" s="655"/>
      <c r="P207" s="234"/>
      <c r="Q207" s="186"/>
      <c r="R207" s="186"/>
      <c r="S207" s="156"/>
      <c r="T207" s="149"/>
      <c r="U207" s="150"/>
      <c r="V207" s="151"/>
      <c r="W207" s="152"/>
      <c r="X207" s="152"/>
      <c r="Y207" s="141">
        <v>9301</v>
      </c>
      <c r="Z207" s="141"/>
      <c r="AB207" s="19"/>
      <c r="AC207" s="20"/>
      <c r="AD207" s="21"/>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31"/>
    </row>
    <row r="208" spans="1:92" s="440" customFormat="1" ht="13.5" thickBot="1">
      <c r="A208" s="434">
        <v>97</v>
      </c>
      <c r="B208" s="74" t="s">
        <v>1558</v>
      </c>
      <c r="C208" s="91" t="s">
        <v>1559</v>
      </c>
      <c r="D208" s="81" t="str">
        <f>P</f>
        <v>. . .</v>
      </c>
      <c r="E208" s="432">
        <f>TEChuilelourde</f>
        <v>0.035</v>
      </c>
      <c r="F208" s="140"/>
      <c r="G208" s="376" t="s">
        <v>1560</v>
      </c>
      <c r="H208" s="74" t="s">
        <v>1561</v>
      </c>
      <c r="I208" s="532">
        <f>VFFOD</f>
        <v>39.59</v>
      </c>
      <c r="J208" s="64" t="s">
        <v>1562</v>
      </c>
      <c r="K208" s="184">
        <f>ROUND(I208*TEChuilelourde,2)</f>
        <v>1.39</v>
      </c>
      <c r="L208" s="138"/>
      <c r="M208" s="248">
        <f>TIGO</f>
        <v>41.69</v>
      </c>
      <c r="N208" s="638"/>
      <c r="O208" s="655" t="str">
        <f>P</f>
        <v>. . .</v>
      </c>
      <c r="P208" s="234" t="s">
        <v>1563</v>
      </c>
      <c r="Q208" s="186">
        <f>TVAGOMETRO</f>
        <v>15.68784</v>
      </c>
      <c r="R208" s="186">
        <f>TVAGOCORSE</f>
        <v>10.405199999999999</v>
      </c>
      <c r="S208" s="414"/>
      <c r="T208" s="311">
        <v>5712</v>
      </c>
      <c r="U208" s="312"/>
      <c r="V208" s="11"/>
      <c r="W208" s="309">
        <v>5938</v>
      </c>
      <c r="X208" s="309"/>
      <c r="Y208" s="141">
        <v>4012</v>
      </c>
      <c r="Z208" s="141">
        <v>9301</v>
      </c>
      <c r="AA208" s="413"/>
      <c r="AB208" s="723"/>
      <c r="AC208" s="501"/>
      <c r="AD208" s="724"/>
      <c r="AE208" s="437"/>
      <c r="AF208" s="437"/>
      <c r="AG208" s="437"/>
      <c r="AH208" s="437"/>
      <c r="AI208" s="437"/>
      <c r="AJ208" s="437"/>
      <c r="AK208" s="437"/>
      <c r="AL208" s="437"/>
      <c r="AM208" s="437"/>
      <c r="AN208" s="437"/>
      <c r="AO208" s="437"/>
      <c r="AP208" s="437"/>
      <c r="AQ208" s="437"/>
      <c r="AR208" s="437"/>
      <c r="AS208" s="437"/>
      <c r="AT208" s="437"/>
      <c r="AU208" s="437"/>
      <c r="AV208" s="437"/>
      <c r="AW208" s="437"/>
      <c r="AX208" s="437"/>
      <c r="AY208" s="437"/>
      <c r="AZ208" s="437"/>
      <c r="BA208" s="437"/>
      <c r="BB208" s="437"/>
      <c r="BC208" s="437"/>
      <c r="BD208" s="437"/>
      <c r="BE208" s="437"/>
      <c r="BF208" s="437"/>
      <c r="BG208" s="438"/>
      <c r="BH208" s="439"/>
      <c r="BI208" s="439"/>
      <c r="BJ208" s="439"/>
      <c r="BK208" s="439"/>
      <c r="BL208" s="439"/>
      <c r="BM208" s="439"/>
      <c r="BN208" s="439"/>
      <c r="BO208" s="439"/>
      <c r="BP208" s="439"/>
      <c r="BQ208" s="439"/>
      <c r="BR208" s="439"/>
      <c r="BS208" s="439"/>
      <c r="BT208" s="439"/>
      <c r="BU208" s="439"/>
      <c r="BV208" s="439"/>
      <c r="BW208" s="439"/>
      <c r="BX208" s="439"/>
      <c r="BY208" s="439"/>
      <c r="BZ208" s="439"/>
      <c r="CA208" s="439"/>
      <c r="CB208" s="439"/>
      <c r="CC208" s="439"/>
      <c r="CD208" s="439"/>
      <c r="CE208" s="439"/>
      <c r="CF208" s="439"/>
      <c r="CG208" s="439"/>
      <c r="CH208" s="439"/>
      <c r="CI208" s="439"/>
      <c r="CJ208" s="439"/>
      <c r="CK208" s="439"/>
      <c r="CL208" s="439"/>
      <c r="CM208" s="439"/>
      <c r="CN208" s="439"/>
    </row>
    <row r="209" spans="1:92" s="443" customFormat="1" ht="12.75">
      <c r="A209" s="434">
        <v>98</v>
      </c>
      <c r="B209" s="74" t="s">
        <v>1564</v>
      </c>
      <c r="C209" s="91" t="s">
        <v>1565</v>
      </c>
      <c r="D209" s="669" t="s">
        <v>1566</v>
      </c>
      <c r="E209" s="432">
        <f>TEChuilelourde</f>
        <v>0.035</v>
      </c>
      <c r="F209" s="140"/>
      <c r="G209" s="372"/>
      <c r="H209" s="373"/>
      <c r="I209" s="532">
        <f>VFFHS</f>
        <v>19.27</v>
      </c>
      <c r="J209" s="64" t="s">
        <v>1567</v>
      </c>
      <c r="K209" s="201">
        <f>ROUND(I209*TEChuilelourde,2)</f>
        <v>0.67</v>
      </c>
      <c r="L209" s="139"/>
      <c r="M209" s="248">
        <f>TIFBTS</f>
        <v>1.85</v>
      </c>
      <c r="N209" s="638"/>
      <c r="O209" s="655" t="str">
        <f>P</f>
        <v>. . .</v>
      </c>
      <c r="P209" s="234" t="str">
        <f>"(18)"</f>
        <v>(18)</v>
      </c>
      <c r="Q209" s="186">
        <f>TVAFLHTSMETRO</f>
        <v>4.270840000000001</v>
      </c>
      <c r="R209" s="186">
        <f>TVAFLHTSCORSE</f>
        <v>2.8327000000000004</v>
      </c>
      <c r="S209" s="296"/>
      <c r="T209" s="149">
        <v>5704</v>
      </c>
      <c r="U209" s="150"/>
      <c r="V209" s="151">
        <v>5733</v>
      </c>
      <c r="W209" s="157">
        <v>5932</v>
      </c>
      <c r="X209" s="157"/>
      <c r="Y209" s="141"/>
      <c r="Z209" s="141"/>
      <c r="AA209" s="141"/>
      <c r="AB209" s="725"/>
      <c r="AC209" s="501"/>
      <c r="AD209" s="726"/>
      <c r="AE209" s="276"/>
      <c r="AF209" s="276"/>
      <c r="AG209" s="276"/>
      <c r="AH209" s="276"/>
      <c r="AI209" s="276"/>
      <c r="AJ209" s="276"/>
      <c r="AK209" s="276"/>
      <c r="AL209" s="276"/>
      <c r="AM209" s="276"/>
      <c r="AN209" s="276"/>
      <c r="AO209" s="276"/>
      <c r="AP209" s="276"/>
      <c r="AQ209" s="276"/>
      <c r="AR209" s="276"/>
      <c r="AS209" s="276"/>
      <c r="AT209" s="276"/>
      <c r="AU209" s="276"/>
      <c r="AV209" s="276"/>
      <c r="AW209" s="276"/>
      <c r="AX209" s="276"/>
      <c r="AY209" s="276"/>
      <c r="AZ209" s="276"/>
      <c r="BA209" s="276"/>
      <c r="BB209" s="276"/>
      <c r="BC209" s="276"/>
      <c r="BD209" s="276"/>
      <c r="BE209" s="276"/>
      <c r="BF209" s="276"/>
      <c r="BG209" s="441"/>
      <c r="BH209" s="442"/>
      <c r="BI209" s="442"/>
      <c r="BJ209" s="442"/>
      <c r="BK209" s="442"/>
      <c r="BL209" s="442"/>
      <c r="BM209" s="442"/>
      <c r="BN209" s="442"/>
      <c r="BO209" s="442"/>
      <c r="BP209" s="442"/>
      <c r="BQ209" s="442"/>
      <c r="BR209" s="442"/>
      <c r="BS209" s="442"/>
      <c r="BT209" s="442"/>
      <c r="BU209" s="442"/>
      <c r="BV209" s="442"/>
      <c r="BW209" s="442"/>
      <c r="BX209" s="442"/>
      <c r="BY209" s="442"/>
      <c r="BZ209" s="442"/>
      <c r="CA209" s="442"/>
      <c r="CB209" s="442"/>
      <c r="CC209" s="442"/>
      <c r="CD209" s="442"/>
      <c r="CE209" s="442"/>
      <c r="CF209" s="442"/>
      <c r="CG209" s="442"/>
      <c r="CH209" s="442"/>
      <c r="CI209" s="442"/>
      <c r="CJ209" s="442"/>
      <c r="CK209" s="442"/>
      <c r="CL209" s="442"/>
      <c r="CM209" s="442"/>
      <c r="CN209" s="442"/>
    </row>
    <row r="210" spans="1:59" ht="12.75">
      <c r="A210" s="434">
        <v>99</v>
      </c>
      <c r="B210" s="246" t="s">
        <v>1568</v>
      </c>
      <c r="C210" s="91" t="s">
        <v>1569</v>
      </c>
      <c r="D210" s="669" t="str">
        <f>P</f>
        <v>. . .</v>
      </c>
      <c r="E210" s="432">
        <f>TEChuilelourde</f>
        <v>0.035</v>
      </c>
      <c r="F210" s="140"/>
      <c r="G210" s="372" t="s">
        <v>1570</v>
      </c>
      <c r="H210" s="373" t="s">
        <v>1571</v>
      </c>
      <c r="I210" s="532">
        <f>VFFHS</f>
        <v>19.27</v>
      </c>
      <c r="J210" s="64" t="s">
        <v>1572</v>
      </c>
      <c r="K210" s="201">
        <f>ROUND(I210*TEChuilelourde,2)</f>
        <v>0.67</v>
      </c>
      <c r="L210" s="139"/>
      <c r="M210" s="248" t="s">
        <v>1573</v>
      </c>
      <c r="N210" s="184"/>
      <c r="O210" s="532" t="str">
        <f>P</f>
        <v>. . .</v>
      </c>
      <c r="P210" s="234" t="s">
        <v>1574</v>
      </c>
      <c r="Q210" s="186">
        <f>SUM(I210:P210)*19.6%</f>
        <v>3.9082400000000006</v>
      </c>
      <c r="R210" s="186">
        <f>SUM(I210:P210)*13%</f>
        <v>2.5922</v>
      </c>
      <c r="S210" s="296"/>
      <c r="T210" s="444"/>
      <c r="U210" s="445"/>
      <c r="V210" s="446"/>
      <c r="W210" s="157">
        <v>5949</v>
      </c>
      <c r="X210" s="157"/>
      <c r="Y210" s="141"/>
      <c r="Z210" s="141"/>
      <c r="AA210" s="141"/>
      <c r="AB210" s="19"/>
      <c r="AC210" s="20"/>
      <c r="AD210" s="21"/>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31"/>
    </row>
    <row r="211" spans="1:59" ht="12.75">
      <c r="A211" s="434"/>
      <c r="B211" s="74"/>
      <c r="C211" s="91" t="s">
        <v>1575</v>
      </c>
      <c r="D211" s="669"/>
      <c r="E211" s="432"/>
      <c r="F211" s="140"/>
      <c r="G211" s="373"/>
      <c r="H211" s="373"/>
      <c r="I211" s="532"/>
      <c r="J211" s="64"/>
      <c r="K211" s="201"/>
      <c r="L211" s="139"/>
      <c r="M211" s="248"/>
      <c r="N211" s="638"/>
      <c r="O211" s="655"/>
      <c r="P211" s="234"/>
      <c r="Q211" s="186"/>
      <c r="R211" s="186"/>
      <c r="S211" s="156"/>
      <c r="T211" s="149"/>
      <c r="U211" s="150"/>
      <c r="V211" s="151"/>
      <c r="W211" s="152"/>
      <c r="X211" s="152"/>
      <c r="Y211" s="141"/>
      <c r="Z211" s="141"/>
      <c r="AA211" s="141"/>
      <c r="AB211" s="19"/>
      <c r="AC211" s="20"/>
      <c r="AD211" s="21"/>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31"/>
    </row>
    <row r="212" spans="1:59" ht="12.75">
      <c r="A212" s="434">
        <v>100</v>
      </c>
      <c r="B212" s="74" t="s">
        <v>1576</v>
      </c>
      <c r="C212" s="91" t="s">
        <v>1577</v>
      </c>
      <c r="D212" s="669" t="str">
        <f>P</f>
        <v>. . .</v>
      </c>
      <c r="E212" s="432" t="s">
        <v>1578</v>
      </c>
      <c r="F212" s="140"/>
      <c r="G212" s="108" t="str">
        <f>P</f>
        <v>. . .</v>
      </c>
      <c r="H212" s="109" t="str">
        <f>P</f>
        <v>. . .</v>
      </c>
      <c r="I212" s="64" t="str">
        <f>R</f>
        <v>Réelle</v>
      </c>
      <c r="J212" s="64" t="s">
        <v>1579</v>
      </c>
      <c r="K212" s="202" t="s">
        <v>1580</v>
      </c>
      <c r="L212" s="139"/>
      <c r="M212" s="248" t="str">
        <f>"(3)"</f>
        <v>(3)</v>
      </c>
      <c r="N212" s="638"/>
      <c r="O212" s="655" t="str">
        <f>P</f>
        <v>. . .</v>
      </c>
      <c r="P212" s="234" t="str">
        <f>"(3)"</f>
        <v>(3)</v>
      </c>
      <c r="Q212" s="186" t="str">
        <f>"(3)"</f>
        <v>(3)</v>
      </c>
      <c r="R212" s="186" t="str">
        <f>"(3)"</f>
        <v>(3)</v>
      </c>
      <c r="S212" s="156"/>
      <c r="W212" s="152" t="str">
        <f>t</f>
        <v>TVO</v>
      </c>
      <c r="X212" s="152"/>
      <c r="Y212" s="32">
        <v>5930</v>
      </c>
      <c r="Z212" s="32">
        <v>9052</v>
      </c>
      <c r="AA212" s="141"/>
      <c r="AB212" s="19"/>
      <c r="AC212" s="20"/>
      <c r="AD212" s="21"/>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31"/>
    </row>
    <row r="213" spans="1:59" ht="12.75">
      <c r="A213" s="434">
        <v>101</v>
      </c>
      <c r="B213" s="74" t="s">
        <v>1581</v>
      </c>
      <c r="C213" s="91" t="s">
        <v>1582</v>
      </c>
      <c r="D213" s="669" t="s">
        <v>1583</v>
      </c>
      <c r="E213" s="432"/>
      <c r="F213" s="140"/>
      <c r="G213" s="108"/>
      <c r="H213" s="373"/>
      <c r="I213" s="64"/>
      <c r="J213" s="64"/>
      <c r="K213" s="139"/>
      <c r="L213" s="139"/>
      <c r="M213" s="248"/>
      <c r="N213" s="638"/>
      <c r="O213" s="655"/>
      <c r="P213" s="636"/>
      <c r="Q213" s="186"/>
      <c r="R213" s="186"/>
      <c r="S213" s="156"/>
      <c r="T213" s="149"/>
      <c r="U213" s="150"/>
      <c r="V213" s="151"/>
      <c r="W213" s="152"/>
      <c r="X213" s="152"/>
      <c r="Y213" s="18"/>
      <c r="Z213" s="18"/>
      <c r="AA213" s="141"/>
      <c r="AB213" s="19"/>
      <c r="AC213" s="20"/>
      <c r="AD213" s="21"/>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31"/>
    </row>
    <row r="214" spans="1:59" ht="12.75">
      <c r="A214" s="434"/>
      <c r="B214" s="74"/>
      <c r="C214" s="91" t="s">
        <v>1584</v>
      </c>
      <c r="D214" s="669" t="str">
        <f>P</f>
        <v>. . .</v>
      </c>
      <c r="E214" s="432" t="s">
        <v>1585</v>
      </c>
      <c r="F214" s="140"/>
      <c r="G214" s="108" t="str">
        <f>P</f>
        <v>. . .</v>
      </c>
      <c r="H214" s="109" t="str">
        <f>P</f>
        <v>. . .</v>
      </c>
      <c r="I214" s="64" t="str">
        <f>R</f>
        <v>Réelle</v>
      </c>
      <c r="J214" s="64" t="s">
        <v>1586</v>
      </c>
      <c r="K214" s="202" t="s">
        <v>1587</v>
      </c>
      <c r="L214" s="139"/>
      <c r="M214" s="248" t="str">
        <f>"(3)"</f>
        <v>(3)</v>
      </c>
      <c r="N214" s="638"/>
      <c r="O214" s="655" t="str">
        <f>P</f>
        <v>. . .</v>
      </c>
      <c r="P214" s="234" t="str">
        <f>"(3)"</f>
        <v>(3)</v>
      </c>
      <c r="Q214" s="186" t="str">
        <f>"(3)"</f>
        <v>(3)</v>
      </c>
      <c r="R214" s="186" t="str">
        <f>"(3)"</f>
        <v>(3)</v>
      </c>
      <c r="S214" s="156"/>
      <c r="W214" s="73" t="str">
        <f>t</f>
        <v>TVO</v>
      </c>
      <c r="X214" s="73"/>
      <c r="Y214" s="32"/>
      <c r="Z214" s="32"/>
      <c r="AA214" s="141"/>
      <c r="AB214" s="19"/>
      <c r="AC214" s="20"/>
      <c r="AD214" s="21"/>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31"/>
    </row>
    <row r="215" spans="1:59" ht="22.5" customHeight="1">
      <c r="A215" s="434"/>
      <c r="B215" s="74"/>
      <c r="C215" s="91" t="s">
        <v>1588</v>
      </c>
      <c r="D215" s="669" t="s">
        <v>1589</v>
      </c>
      <c r="E215" s="432"/>
      <c r="F215" s="140"/>
      <c r="G215" s="108"/>
      <c r="H215" s="373"/>
      <c r="I215" s="64"/>
      <c r="J215" s="64"/>
      <c r="K215" s="139"/>
      <c r="L215" s="139"/>
      <c r="M215" s="248"/>
      <c r="N215" s="638"/>
      <c r="O215" s="655"/>
      <c r="P215" s="636"/>
      <c r="Q215" s="186"/>
      <c r="R215" s="186"/>
      <c r="S215" s="156"/>
      <c r="T215" s="50"/>
      <c r="U215" s="51"/>
      <c r="V215" s="52"/>
      <c r="W215" s="53"/>
      <c r="X215" s="53"/>
      <c r="Y215" s="18">
        <v>9181</v>
      </c>
      <c r="Z215" s="18" t="s">
        <v>1590</v>
      </c>
      <c r="AA215" s="32"/>
      <c r="AB215" s="19"/>
      <c r="AC215" s="20"/>
      <c r="AD215" s="21"/>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31"/>
    </row>
    <row r="216" spans="1:59" ht="12.75">
      <c r="A216" s="434"/>
      <c r="B216" s="74"/>
      <c r="C216" s="91" t="s">
        <v>1591</v>
      </c>
      <c r="D216" s="675"/>
      <c r="E216" s="695"/>
      <c r="F216" s="240"/>
      <c r="G216" s="238"/>
      <c r="H216" s="238"/>
      <c r="I216" s="235"/>
      <c r="J216" s="235"/>
      <c r="K216" s="239"/>
      <c r="L216" s="239"/>
      <c r="M216" s="248"/>
      <c r="N216" s="31"/>
      <c r="O216" s="526"/>
      <c r="P216" s="240"/>
      <c r="Q216" s="186"/>
      <c r="R216" s="186"/>
      <c r="S216" s="156"/>
      <c r="T216" s="70"/>
      <c r="U216" s="71"/>
      <c r="V216" s="72"/>
      <c r="W216" s="73"/>
      <c r="X216" s="73"/>
      <c r="AA216" s="18"/>
      <c r="AB216" s="19"/>
      <c r="AC216" s="20"/>
      <c r="AD216" s="21"/>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31"/>
    </row>
    <row r="217" spans="1:92" s="450" customFormat="1" ht="18.75">
      <c r="A217" s="447">
        <v>102</v>
      </c>
      <c r="B217" s="448" t="s">
        <v>1592</v>
      </c>
      <c r="C217" s="449" t="s">
        <v>1593</v>
      </c>
      <c r="D217" s="81" t="str">
        <f>P</f>
        <v>. . .</v>
      </c>
      <c r="E217" s="432">
        <f>TEClubrifiant</f>
        <v>0.037</v>
      </c>
      <c r="F217" s="140"/>
      <c r="G217" s="108" t="str">
        <f>P</f>
        <v>. . .</v>
      </c>
      <c r="H217" s="109" t="str">
        <f>P</f>
        <v>. . .</v>
      </c>
      <c r="I217" s="64">
        <f>VFHL</f>
        <v>22.87</v>
      </c>
      <c r="J217" s="64" t="s">
        <v>1594</v>
      </c>
      <c r="K217" s="201">
        <f>ROUND(I217*TEClubrifiant,2)</f>
        <v>0.85</v>
      </c>
      <c r="L217" s="139"/>
      <c r="M217" s="248" t="s">
        <v>1595</v>
      </c>
      <c r="N217" s="638"/>
      <c r="O217" s="663">
        <f>TGAP</f>
        <v>3.811</v>
      </c>
      <c r="P217" s="234" t="str">
        <f>P</f>
        <v>. . .</v>
      </c>
      <c r="Q217" s="186">
        <f>SUM(I217:P217)*19.6%</f>
        <v>5.396076000000001</v>
      </c>
      <c r="R217" s="186">
        <f>SUM(I217:P217)*13%</f>
        <v>3.5790300000000004</v>
      </c>
      <c r="S217" s="156"/>
      <c r="T217" s="50">
        <v>5703</v>
      </c>
      <c r="U217" s="51" t="s">
        <v>1596</v>
      </c>
      <c r="V217" s="11"/>
      <c r="W217" s="185">
        <v>5942</v>
      </c>
      <c r="X217" s="185"/>
      <c r="Y217" s="13"/>
      <c r="Z217" s="13"/>
      <c r="AA217" s="32"/>
      <c r="AB217" s="19"/>
      <c r="AC217" s="20"/>
      <c r="AD217" s="21"/>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31"/>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row>
    <row r="218" spans="1:59" ht="14.25" customHeight="1">
      <c r="A218" s="434">
        <v>103</v>
      </c>
      <c r="B218" s="74" t="s">
        <v>1597</v>
      </c>
      <c r="C218" s="91" t="s">
        <v>1598</v>
      </c>
      <c r="D218" s="81" t="str">
        <f>P</f>
        <v>. . .</v>
      </c>
      <c r="E218" s="432">
        <f>TEClubrifiant</f>
        <v>0.037</v>
      </c>
      <c r="F218" s="140"/>
      <c r="G218" s="108" t="str">
        <f>P</f>
        <v>. . .</v>
      </c>
      <c r="H218" s="109" t="str">
        <f>P</f>
        <v>. . .</v>
      </c>
      <c r="I218" s="64">
        <f>VFHL</f>
        <v>22.87</v>
      </c>
      <c r="J218" s="64" t="s">
        <v>1599</v>
      </c>
      <c r="K218" s="201">
        <f>ROUND(I218*TEClubrifiant,2)</f>
        <v>0.85</v>
      </c>
      <c r="L218" s="139"/>
      <c r="M218" s="248" t="s">
        <v>1600</v>
      </c>
      <c r="N218" s="638"/>
      <c r="O218" s="655" t="str">
        <f>P</f>
        <v>. . .</v>
      </c>
      <c r="P218" s="234" t="str">
        <f>P</f>
        <v>. . .</v>
      </c>
      <c r="Q218" s="186">
        <f>SUM(I218:P218)*19.6%</f>
        <v>4.649120000000001</v>
      </c>
      <c r="R218" s="186">
        <f>SUM(I218:P218)*13%</f>
        <v>3.0836000000000006</v>
      </c>
      <c r="S218" s="165"/>
      <c r="W218" s="309">
        <v>5900</v>
      </c>
      <c r="X218" s="185"/>
      <c r="Y218" s="141"/>
      <c r="Z218" s="141"/>
      <c r="AA218" s="18"/>
      <c r="AB218" s="19"/>
      <c r="AC218" s="20"/>
      <c r="AD218" s="21"/>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31"/>
    </row>
    <row r="219" spans="1:59" ht="24" customHeight="1">
      <c r="A219" s="434"/>
      <c r="B219" s="91"/>
      <c r="C219" s="91"/>
      <c r="D219" s="81"/>
      <c r="E219" s="432"/>
      <c r="F219" s="140"/>
      <c r="G219" s="108"/>
      <c r="H219" s="705"/>
      <c r="I219" s="64"/>
      <c r="J219" s="64"/>
      <c r="K219" s="717"/>
      <c r="L219" s="451"/>
      <c r="M219" s="248"/>
      <c r="N219" s="638"/>
      <c r="O219" s="532"/>
      <c r="P219" s="234"/>
      <c r="Q219" s="186"/>
      <c r="R219" s="186"/>
      <c r="S219" s="49"/>
      <c r="T219" s="311"/>
      <c r="U219" s="312"/>
      <c r="Y219" s="141">
        <v>9181</v>
      </c>
      <c r="Z219" s="18" t="s">
        <v>1601</v>
      </c>
      <c r="AB219" s="19"/>
      <c r="AC219" s="20"/>
      <c r="AD219" s="21"/>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31"/>
    </row>
    <row r="220" spans="1:59" ht="12.75">
      <c r="A220" s="434"/>
      <c r="B220" s="74"/>
      <c r="C220" s="91" t="s">
        <v>1602</v>
      </c>
      <c r="D220" s="81"/>
      <c r="E220" s="703"/>
      <c r="F220" s="140"/>
      <c r="G220" s="108"/>
      <c r="H220" s="109"/>
      <c r="I220" s="64"/>
      <c r="J220" s="64"/>
      <c r="K220" s="452"/>
      <c r="L220" s="139"/>
      <c r="M220" s="248" t="s">
        <v>1603</v>
      </c>
      <c r="N220" s="638"/>
      <c r="O220" s="655"/>
      <c r="P220" s="234"/>
      <c r="Q220" s="186"/>
      <c r="R220" s="186"/>
      <c r="S220" s="165"/>
      <c r="T220" s="149"/>
      <c r="U220" s="150"/>
      <c r="V220" s="151"/>
      <c r="W220" s="152"/>
      <c r="X220" s="152"/>
      <c r="Y220" s="141"/>
      <c r="Z220" s="141"/>
      <c r="AB220" s="19"/>
      <c r="AC220" s="20"/>
      <c r="AD220" s="21"/>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31"/>
    </row>
    <row r="221" spans="1:59" ht="18.75">
      <c r="A221" s="447">
        <v>104</v>
      </c>
      <c r="B221" s="290" t="s">
        <v>1604</v>
      </c>
      <c r="C221" s="449" t="s">
        <v>1605</v>
      </c>
      <c r="D221" s="81" t="str">
        <f>P</f>
        <v>. . .</v>
      </c>
      <c r="E221" s="432">
        <f>TEClubrifiant</f>
        <v>0.037</v>
      </c>
      <c r="F221" s="140"/>
      <c r="G221" s="108" t="str">
        <f>P</f>
        <v>. . .</v>
      </c>
      <c r="H221" s="109" t="str">
        <f>P</f>
        <v>. . .</v>
      </c>
      <c r="I221" s="64">
        <f>VFHL</f>
        <v>22.87</v>
      </c>
      <c r="J221" s="64" t="s">
        <v>1606</v>
      </c>
      <c r="K221" s="201">
        <f>ROUND(I221*TEClubrifiant,2)</f>
        <v>0.85</v>
      </c>
      <c r="L221" s="139"/>
      <c r="M221" s="248" t="s">
        <v>1607</v>
      </c>
      <c r="N221" s="638"/>
      <c r="O221" s="663">
        <f>TGAP</f>
        <v>3.811</v>
      </c>
      <c r="P221" s="234" t="str">
        <f>P</f>
        <v>. . .</v>
      </c>
      <c r="Q221" s="186">
        <f>TVATGAPLUBMETRO</f>
        <v>5.396076000000001</v>
      </c>
      <c r="R221" s="186">
        <f>TVATGAPLUBCORSE</f>
        <v>3.5790300000000004</v>
      </c>
      <c r="S221" s="49"/>
      <c r="T221" s="149">
        <v>5703</v>
      </c>
      <c r="U221" s="51" t="s">
        <v>1608</v>
      </c>
      <c r="W221" s="157">
        <v>5942</v>
      </c>
      <c r="X221" s="157"/>
      <c r="Y221" s="141"/>
      <c r="Z221" s="141"/>
      <c r="AA221" s="141"/>
      <c r="AB221" s="19"/>
      <c r="AC221" s="20"/>
      <c r="AD221" s="21"/>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31"/>
    </row>
    <row r="222" spans="1:59" ht="12.75">
      <c r="A222" s="434">
        <v>105</v>
      </c>
      <c r="B222" s="74" t="s">
        <v>1609</v>
      </c>
      <c r="C222" s="91" t="s">
        <v>1610</v>
      </c>
      <c r="D222" s="81" t="str">
        <f>P</f>
        <v>. . .</v>
      </c>
      <c r="E222" s="432">
        <f>TEClubrifiant</f>
        <v>0.037</v>
      </c>
      <c r="F222" s="140"/>
      <c r="G222" s="108" t="str">
        <f>P</f>
        <v>. . .</v>
      </c>
      <c r="H222" s="109" t="str">
        <f>P</f>
        <v>. . .</v>
      </c>
      <c r="I222" s="64">
        <f>VFHL</f>
        <v>22.87</v>
      </c>
      <c r="J222" s="64" t="s">
        <v>1611</v>
      </c>
      <c r="K222" s="201">
        <f>ROUND(I222*TEClubrifiant,2)</f>
        <v>0.85</v>
      </c>
      <c r="L222" s="139"/>
      <c r="M222" s="248" t="s">
        <v>1612</v>
      </c>
      <c r="N222" s="638"/>
      <c r="O222" s="655"/>
      <c r="P222" s="234" t="str">
        <f>P</f>
        <v>. . .</v>
      </c>
      <c r="Q222" s="186">
        <f>TVALUBMETRO</f>
        <v>4.649120000000001</v>
      </c>
      <c r="R222" s="186">
        <f>TVALUBCORSE</f>
        <v>3.0836000000000006</v>
      </c>
      <c r="S222" s="296"/>
      <c r="V222" s="151"/>
      <c r="W222" s="157">
        <v>5900</v>
      </c>
      <c r="X222" s="157"/>
      <c r="Y222" s="18"/>
      <c r="Z222" s="18"/>
      <c r="AA222" s="141"/>
      <c r="AB222" s="19"/>
      <c r="AC222" s="20"/>
      <c r="AD222" s="21"/>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31"/>
    </row>
    <row r="223" spans="1:59" ht="12.75">
      <c r="A223" s="434"/>
      <c r="B223" s="91"/>
      <c r="C223" s="7"/>
      <c r="D223" s="64"/>
      <c r="E223" s="703"/>
      <c r="F223" s="140"/>
      <c r="G223" s="108"/>
      <c r="H223" s="109"/>
      <c r="I223" s="64"/>
      <c r="J223" s="64"/>
      <c r="K223" s="452"/>
      <c r="L223" s="139"/>
      <c r="M223" s="248"/>
      <c r="N223" s="638"/>
      <c r="O223" s="655"/>
      <c r="P223" s="234"/>
      <c r="Q223" s="186"/>
      <c r="R223" s="186"/>
      <c r="S223" s="296"/>
      <c r="V223" s="151"/>
      <c r="W223" s="152"/>
      <c r="X223" s="152"/>
      <c r="Y223" s="141"/>
      <c r="Z223" s="141"/>
      <c r="AA223" s="141"/>
      <c r="AB223" s="19"/>
      <c r="AC223" s="453"/>
      <c r="AD223" s="21"/>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31"/>
    </row>
    <row r="224" spans="1:59" ht="24" customHeight="1">
      <c r="A224" s="434">
        <v>106</v>
      </c>
      <c r="B224" s="74" t="s">
        <v>1613</v>
      </c>
      <c r="C224" s="91" t="s">
        <v>1614</v>
      </c>
      <c r="D224" s="81" t="str">
        <f>P</f>
        <v>. . .</v>
      </c>
      <c r="E224" s="432">
        <f>TEClubrifiant</f>
        <v>0.037</v>
      </c>
      <c r="F224" s="140"/>
      <c r="G224" s="108" t="str">
        <f>P</f>
        <v>. . .</v>
      </c>
      <c r="H224" s="109" t="str">
        <f>P</f>
        <v>. . .</v>
      </c>
      <c r="I224" s="64">
        <f>VFHL</f>
        <v>22.87</v>
      </c>
      <c r="J224" s="64" t="s">
        <v>1615</v>
      </c>
      <c r="K224" s="201">
        <f>ROUND(I224*TEClubrifiant,2)</f>
        <v>0.85</v>
      </c>
      <c r="L224" s="139"/>
      <c r="M224" s="248" t="s">
        <v>1616</v>
      </c>
      <c r="N224" s="638"/>
      <c r="O224" s="655"/>
      <c r="P224" s="234" t="str">
        <f>P</f>
        <v>. . .</v>
      </c>
      <c r="Q224" s="186">
        <f>TVALUBMETRO</f>
        <v>4.649120000000001</v>
      </c>
      <c r="R224" s="186">
        <f>TVALUBCORSE</f>
        <v>3.0836000000000006</v>
      </c>
      <c r="S224" s="156"/>
      <c r="V224" s="52"/>
      <c r="W224" s="185">
        <v>5900</v>
      </c>
      <c r="X224" s="185"/>
      <c r="Y224" s="141">
        <v>9181</v>
      </c>
      <c r="Z224" s="18" t="s">
        <v>1617</v>
      </c>
      <c r="AA224" s="413"/>
      <c r="AB224" s="454"/>
      <c r="AC224" s="20"/>
      <c r="AD224" s="21"/>
      <c r="AE224" s="22"/>
      <c r="AF224" s="22"/>
      <c r="AG224" s="22"/>
      <c r="AH224" s="22"/>
      <c r="AI224" s="206"/>
      <c r="AJ224" s="206"/>
      <c r="AK224" s="206"/>
      <c r="AL224" s="206"/>
      <c r="AM224" s="206"/>
      <c r="AN224" s="206"/>
      <c r="AO224" s="206"/>
      <c r="AP224" s="206"/>
      <c r="AQ224" s="206"/>
      <c r="AR224" s="206"/>
      <c r="AS224" s="206"/>
      <c r="AT224" s="206"/>
      <c r="AU224" s="206"/>
      <c r="AV224" s="206"/>
      <c r="AW224" s="206"/>
      <c r="AX224" s="206"/>
      <c r="AY224" s="206"/>
      <c r="AZ224" s="206"/>
      <c r="BA224" s="206"/>
      <c r="BB224" s="206"/>
      <c r="BC224" s="206"/>
      <c r="BD224" s="206"/>
      <c r="BE224" s="206"/>
      <c r="BF224" s="206"/>
      <c r="BG224" s="31"/>
    </row>
    <row r="225" spans="1:59" ht="12.75">
      <c r="A225" s="434"/>
      <c r="B225" s="74"/>
      <c r="C225" s="91" t="s">
        <v>1618</v>
      </c>
      <c r="D225" s="81"/>
      <c r="E225" s="703"/>
      <c r="F225" s="140"/>
      <c r="G225" s="108"/>
      <c r="H225" s="109"/>
      <c r="I225" s="64"/>
      <c r="J225" s="64"/>
      <c r="K225" s="452"/>
      <c r="L225" s="139"/>
      <c r="M225" s="248"/>
      <c r="N225" s="638"/>
      <c r="O225" s="655"/>
      <c r="P225" s="234"/>
      <c r="Q225" s="186"/>
      <c r="R225" s="186"/>
      <c r="S225" s="156"/>
      <c r="T225" s="149"/>
      <c r="U225" s="150"/>
      <c r="V225" s="151"/>
      <c r="W225" s="152"/>
      <c r="X225" s="152"/>
      <c r="Y225" s="18"/>
      <c r="Z225" s="18"/>
      <c r="AA225" s="18"/>
      <c r="AB225" s="19"/>
      <c r="AC225" s="20"/>
      <c r="AD225" s="21"/>
      <c r="AE225" s="22"/>
      <c r="AF225" s="22"/>
      <c r="AG225" s="22"/>
      <c r="AH225" s="22"/>
      <c r="AI225" s="206"/>
      <c r="AJ225" s="206"/>
      <c r="AK225" s="206"/>
      <c r="AL225" s="206"/>
      <c r="AM225" s="206"/>
      <c r="AN225" s="206"/>
      <c r="AO225" s="206"/>
      <c r="AP225" s="206"/>
      <c r="AQ225" s="206"/>
      <c r="AR225" s="206"/>
      <c r="AS225" s="206"/>
      <c r="AT225" s="206"/>
      <c r="AU225" s="206"/>
      <c r="AV225" s="206"/>
      <c r="AW225" s="206"/>
      <c r="AX225" s="206"/>
      <c r="AY225" s="206"/>
      <c r="AZ225" s="206"/>
      <c r="BA225" s="206"/>
      <c r="BB225" s="206"/>
      <c r="BC225" s="206"/>
      <c r="BD225" s="206"/>
      <c r="BE225" s="206"/>
      <c r="BF225" s="206"/>
      <c r="BG225" s="31"/>
    </row>
    <row r="226" spans="1:92" s="457" customFormat="1" ht="12.75" customHeight="1">
      <c r="A226" s="434">
        <v>107</v>
      </c>
      <c r="B226" s="290" t="s">
        <v>1619</v>
      </c>
      <c r="C226" s="449" t="s">
        <v>1620</v>
      </c>
      <c r="D226" s="81" t="str">
        <f>P</f>
        <v>. . .</v>
      </c>
      <c r="E226" s="432">
        <f>TEClubrifiant</f>
        <v>0.037</v>
      </c>
      <c r="F226" s="140"/>
      <c r="G226" s="108" t="str">
        <f>P</f>
        <v>. . .</v>
      </c>
      <c r="H226" s="109" t="str">
        <f>P</f>
        <v>. . .</v>
      </c>
      <c r="I226" s="64">
        <f>VFHL</f>
        <v>22.87</v>
      </c>
      <c r="J226" s="64" t="s">
        <v>1621</v>
      </c>
      <c r="K226" s="201">
        <f>ROUND(I226*TEClubrifiant,2)</f>
        <v>0.85</v>
      </c>
      <c r="L226" s="139"/>
      <c r="M226" s="248" t="s">
        <v>1622</v>
      </c>
      <c r="N226" s="638"/>
      <c r="O226" s="663">
        <f>TGAP</f>
        <v>3.811</v>
      </c>
      <c r="P226" s="234" t="str">
        <f>P</f>
        <v>. . .</v>
      </c>
      <c r="Q226" s="186">
        <f>TVATGAPLUBMETRO</f>
        <v>5.396076000000001</v>
      </c>
      <c r="R226" s="186">
        <f>TVATGAPLUBCORSE</f>
        <v>3.5790300000000004</v>
      </c>
      <c r="S226" s="156"/>
      <c r="T226" s="149">
        <v>5703</v>
      </c>
      <c r="U226" s="51" t="s">
        <v>1623</v>
      </c>
      <c r="V226" s="11"/>
      <c r="W226" s="157">
        <v>5942</v>
      </c>
      <c r="X226" s="157"/>
      <c r="Y226" s="141"/>
      <c r="Z226" s="141"/>
      <c r="AA226" s="141"/>
      <c r="AB226" s="204"/>
      <c r="AC226" s="20"/>
      <c r="AD226" s="403"/>
      <c r="AE226" s="338"/>
      <c r="AF226" s="338"/>
      <c r="AG226" s="338"/>
      <c r="AH226" s="338"/>
      <c r="AI226" s="455"/>
      <c r="AJ226" s="455"/>
      <c r="AK226" s="455"/>
      <c r="AL226" s="455"/>
      <c r="AM226" s="455"/>
      <c r="AN226" s="455"/>
      <c r="AO226" s="455"/>
      <c r="AP226" s="455"/>
      <c r="AQ226" s="455"/>
      <c r="AR226" s="455"/>
      <c r="AS226" s="455"/>
      <c r="AT226" s="455"/>
      <c r="AU226" s="455"/>
      <c r="AV226" s="455"/>
      <c r="AW226" s="455"/>
      <c r="AX226" s="455"/>
      <c r="AY226" s="455"/>
      <c r="AZ226" s="455"/>
      <c r="BA226" s="455"/>
      <c r="BB226" s="455"/>
      <c r="BC226" s="455"/>
      <c r="BD226" s="455"/>
      <c r="BE226" s="455"/>
      <c r="BF226" s="455"/>
      <c r="BG226" s="337"/>
      <c r="BH226" s="456"/>
      <c r="BI226" s="456"/>
      <c r="BJ226" s="456"/>
      <c r="BK226" s="456"/>
      <c r="BL226" s="456"/>
      <c r="BM226" s="456"/>
      <c r="BN226" s="456"/>
      <c r="BO226" s="456"/>
      <c r="BP226" s="456"/>
      <c r="BQ226" s="456"/>
      <c r="BR226" s="456"/>
      <c r="BS226" s="456"/>
      <c r="BT226" s="456"/>
      <c r="BU226" s="456"/>
      <c r="BV226" s="456"/>
      <c r="BW226" s="456"/>
      <c r="BX226" s="456"/>
      <c r="BY226" s="456"/>
      <c r="BZ226" s="456"/>
      <c r="CA226" s="456"/>
      <c r="CB226" s="456"/>
      <c r="CC226" s="456"/>
      <c r="CD226" s="456"/>
      <c r="CE226" s="456"/>
      <c r="CF226" s="456"/>
      <c r="CG226" s="456"/>
      <c r="CH226" s="456"/>
      <c r="CI226" s="456"/>
      <c r="CJ226" s="456"/>
      <c r="CK226" s="456"/>
      <c r="CL226" s="456"/>
      <c r="CM226" s="456"/>
      <c r="CN226" s="456"/>
    </row>
    <row r="227" spans="1:59" ht="24" customHeight="1">
      <c r="A227" s="434">
        <v>108</v>
      </c>
      <c r="B227" s="74" t="s">
        <v>1624</v>
      </c>
      <c r="C227" s="91" t="s">
        <v>1625</v>
      </c>
      <c r="D227" s="81" t="str">
        <f>P</f>
        <v>. . .</v>
      </c>
      <c r="E227" s="432">
        <f>TEClubrifiant</f>
        <v>0.037</v>
      </c>
      <c r="F227" s="140"/>
      <c r="G227" s="108" t="str">
        <f>P</f>
        <v>. . .</v>
      </c>
      <c r="H227" s="109" t="str">
        <f>P</f>
        <v>. . .</v>
      </c>
      <c r="I227" s="64">
        <f>VFHL</f>
        <v>22.87</v>
      </c>
      <c r="J227" s="64" t="s">
        <v>1626</v>
      </c>
      <c r="K227" s="201">
        <f>ROUND(I227*TEClubrifiant,2)</f>
        <v>0.85</v>
      </c>
      <c r="L227" s="139"/>
      <c r="M227" s="248" t="s">
        <v>1627</v>
      </c>
      <c r="N227" s="638"/>
      <c r="O227" s="655"/>
      <c r="P227" s="234" t="str">
        <f>P</f>
        <v>. . .</v>
      </c>
      <c r="Q227" s="186">
        <f>TVALUBMETRO</f>
        <v>4.649120000000001</v>
      </c>
      <c r="R227" s="186">
        <f>TVALUBCORSE</f>
        <v>3.0836000000000006</v>
      </c>
      <c r="S227" s="156"/>
      <c r="V227" s="52"/>
      <c r="W227" s="185">
        <v>5900</v>
      </c>
      <c r="X227" s="185"/>
      <c r="Y227" s="141">
        <v>9181</v>
      </c>
      <c r="Z227" s="18" t="s">
        <v>1628</v>
      </c>
      <c r="AA227" s="141"/>
      <c r="AB227" s="19"/>
      <c r="AC227" s="20"/>
      <c r="AD227" s="21"/>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31"/>
    </row>
    <row r="228" spans="1:59" ht="12.75">
      <c r="A228" s="434"/>
      <c r="B228" s="74"/>
      <c r="C228" s="91" t="s">
        <v>1629</v>
      </c>
      <c r="D228" s="81"/>
      <c r="E228" s="703"/>
      <c r="F228" s="140"/>
      <c r="G228" s="108"/>
      <c r="H228" s="109"/>
      <c r="I228" s="64"/>
      <c r="J228" s="64"/>
      <c r="K228" s="452"/>
      <c r="L228" s="139"/>
      <c r="M228" s="248"/>
      <c r="N228" s="638"/>
      <c r="O228" s="655"/>
      <c r="P228" s="234"/>
      <c r="Q228" s="186"/>
      <c r="R228" s="186"/>
      <c r="S228" s="415"/>
      <c r="T228" s="149"/>
      <c r="U228" s="150"/>
      <c r="V228" s="151"/>
      <c r="W228" s="152"/>
      <c r="X228" s="152"/>
      <c r="Y228" s="18"/>
      <c r="Z228" s="18"/>
      <c r="AA228" s="18"/>
      <c r="AB228" s="19"/>
      <c r="AC228" s="20"/>
      <c r="AD228" s="21"/>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31"/>
    </row>
    <row r="229" spans="1:59" ht="18.75">
      <c r="A229" s="447">
        <v>109</v>
      </c>
      <c r="B229" s="290" t="s">
        <v>1630</v>
      </c>
      <c r="C229" s="449" t="s">
        <v>1631</v>
      </c>
      <c r="D229" s="81" t="str">
        <f>P</f>
        <v>. . .</v>
      </c>
      <c r="E229" s="432">
        <f>TEClubrifiant</f>
        <v>0.037</v>
      </c>
      <c r="F229" s="140"/>
      <c r="G229" s="108" t="str">
        <f>P</f>
        <v>. . .</v>
      </c>
      <c r="H229" s="109" t="str">
        <f>P</f>
        <v>. . .</v>
      </c>
      <c r="I229" s="64">
        <f>VFHL</f>
        <v>22.87</v>
      </c>
      <c r="J229" s="64" t="s">
        <v>1632</v>
      </c>
      <c r="K229" s="201">
        <f>ROUND(I229*TEClubrifiant,2)</f>
        <v>0.85</v>
      </c>
      <c r="L229" s="139"/>
      <c r="M229" s="248" t="s">
        <v>1633</v>
      </c>
      <c r="N229" s="638"/>
      <c r="O229" s="663">
        <f>TGAP</f>
        <v>3.811</v>
      </c>
      <c r="P229" s="234" t="str">
        <f>P</f>
        <v>. . .</v>
      </c>
      <c r="Q229" s="186">
        <f>TVATGAPLUBMETRO</f>
        <v>5.396076000000001</v>
      </c>
      <c r="R229" s="186">
        <f>TVATGAPLUBCORSE</f>
        <v>3.5790300000000004</v>
      </c>
      <c r="S229" s="363"/>
      <c r="T229" s="149">
        <v>5703</v>
      </c>
      <c r="U229" s="51" t="s">
        <v>1634</v>
      </c>
      <c r="W229" s="157">
        <v>5942</v>
      </c>
      <c r="X229" s="157"/>
      <c r="Y229" s="141"/>
      <c r="Z229" s="141"/>
      <c r="AA229" s="141"/>
      <c r="AB229" s="19"/>
      <c r="AC229" s="20"/>
      <c r="AD229" s="21"/>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31"/>
    </row>
    <row r="230" spans="1:92" s="429" customFormat="1" ht="24" customHeight="1" thickBot="1">
      <c r="A230" s="458">
        <v>110</v>
      </c>
      <c r="B230" s="416" t="s">
        <v>1635</v>
      </c>
      <c r="C230" s="405" t="s">
        <v>1636</v>
      </c>
      <c r="D230" s="674" t="str">
        <f>P</f>
        <v>. . .</v>
      </c>
      <c r="E230" s="689">
        <f>TEClubrifiant</f>
        <v>0.037</v>
      </c>
      <c r="F230" s="690"/>
      <c r="G230" s="191" t="str">
        <f>P</f>
        <v>. . .</v>
      </c>
      <c r="H230" s="192" t="str">
        <f>P</f>
        <v>. . .</v>
      </c>
      <c r="I230" s="715">
        <f>VFHL</f>
        <v>22.87</v>
      </c>
      <c r="J230" s="708" t="s">
        <v>1637</v>
      </c>
      <c r="K230" s="342">
        <f>ROUND(I230*TEClubrifiant,2)</f>
        <v>0.85</v>
      </c>
      <c r="L230" s="193"/>
      <c r="M230" s="194" t="s">
        <v>1638</v>
      </c>
      <c r="N230" s="641"/>
      <c r="O230" s="664"/>
      <c r="P230" s="644" t="str">
        <f>P</f>
        <v>. . .</v>
      </c>
      <c r="Q230" s="343">
        <f>TVALUBMETRO</f>
        <v>4.649120000000001</v>
      </c>
      <c r="R230" s="343">
        <f>TVALUBCORSE</f>
        <v>3.0836000000000006</v>
      </c>
      <c r="S230" s="156"/>
      <c r="T230" s="9"/>
      <c r="U230" s="10"/>
      <c r="V230" s="52"/>
      <c r="W230" s="185">
        <v>5900</v>
      </c>
      <c r="X230" s="185"/>
      <c r="Y230" s="141">
        <v>9181</v>
      </c>
      <c r="Z230" s="18" t="s">
        <v>1639</v>
      </c>
      <c r="AA230" s="141"/>
      <c r="AB230" s="19"/>
      <c r="AC230" s="424"/>
      <c r="AD230" s="459"/>
      <c r="AE230" s="460"/>
      <c r="AF230" s="460"/>
      <c r="AG230" s="460"/>
      <c r="AH230" s="460"/>
      <c r="AI230" s="460"/>
      <c r="AJ230" s="460"/>
      <c r="AK230" s="460"/>
      <c r="AL230" s="460"/>
      <c r="AM230" s="460"/>
      <c r="AN230" s="460"/>
      <c r="AO230" s="460"/>
      <c r="AP230" s="460"/>
      <c r="AQ230" s="460"/>
      <c r="AR230" s="460"/>
      <c r="AS230" s="460"/>
      <c r="AT230" s="460"/>
      <c r="AU230" s="460"/>
      <c r="AV230" s="460"/>
      <c r="AW230" s="460"/>
      <c r="AX230" s="460"/>
      <c r="AY230" s="460"/>
      <c r="AZ230" s="460"/>
      <c r="BA230" s="460"/>
      <c r="BB230" s="460"/>
      <c r="BC230" s="460"/>
      <c r="BD230" s="460"/>
      <c r="BE230" s="460"/>
      <c r="BF230" s="460"/>
      <c r="BG230" s="438"/>
      <c r="BH230" s="428"/>
      <c r="BI230" s="428"/>
      <c r="BJ230" s="428"/>
      <c r="BK230" s="428"/>
      <c r="BL230" s="428"/>
      <c r="BM230" s="428"/>
      <c r="BN230" s="428"/>
      <c r="BO230" s="428"/>
      <c r="BP230" s="428"/>
      <c r="BQ230" s="428"/>
      <c r="BR230" s="428"/>
      <c r="BS230" s="428"/>
      <c r="BT230" s="428"/>
      <c r="BU230" s="428"/>
      <c r="BV230" s="428"/>
      <c r="BW230" s="428"/>
      <c r="BX230" s="428"/>
      <c r="BY230" s="428"/>
      <c r="BZ230" s="428"/>
      <c r="CA230" s="428"/>
      <c r="CB230" s="428"/>
      <c r="CC230" s="428"/>
      <c r="CD230" s="428"/>
      <c r="CE230" s="428"/>
      <c r="CF230" s="428"/>
      <c r="CG230" s="428"/>
      <c r="CH230" s="428"/>
      <c r="CI230" s="428"/>
      <c r="CJ230" s="428"/>
      <c r="CK230" s="428"/>
      <c r="CL230" s="428"/>
      <c r="CM230" s="428"/>
      <c r="CN230" s="428"/>
    </row>
    <row r="231" spans="1:59" ht="12.75">
      <c r="A231" s="434"/>
      <c r="B231" s="74"/>
      <c r="C231" s="91" t="s">
        <v>1640</v>
      </c>
      <c r="D231" s="81"/>
      <c r="E231" s="703"/>
      <c r="F231" s="140"/>
      <c r="G231" s="108"/>
      <c r="H231" s="109"/>
      <c r="I231" s="64"/>
      <c r="J231" s="64"/>
      <c r="K231" s="452"/>
      <c r="L231" s="139"/>
      <c r="M231" s="248"/>
      <c r="N231" s="638"/>
      <c r="O231" s="663"/>
      <c r="P231" s="234"/>
      <c r="Q231" s="186"/>
      <c r="R231" s="186"/>
      <c r="S231" s="184"/>
      <c r="T231" s="149"/>
      <c r="U231" s="150"/>
      <c r="V231" s="151"/>
      <c r="W231" s="152"/>
      <c r="X231" s="152"/>
      <c r="Y231" s="18"/>
      <c r="Z231" s="18"/>
      <c r="AA231" s="18"/>
      <c r="AB231" s="19"/>
      <c r="AC231" s="20"/>
      <c r="AD231" s="21"/>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31"/>
    </row>
    <row r="232" spans="1:59" ht="18.75">
      <c r="A232" s="447">
        <v>111</v>
      </c>
      <c r="B232" s="290" t="s">
        <v>1641</v>
      </c>
      <c r="C232" s="449" t="s">
        <v>1642</v>
      </c>
      <c r="D232" s="81" t="str">
        <f>P</f>
        <v>. . .</v>
      </c>
      <c r="E232" s="432">
        <f>TEClubrifiant</f>
        <v>0.037</v>
      </c>
      <c r="F232" s="140"/>
      <c r="G232" s="108" t="str">
        <f>P</f>
        <v>. . .</v>
      </c>
      <c r="H232" s="109" t="str">
        <f>P</f>
        <v>. . .</v>
      </c>
      <c r="I232" s="716">
        <f>VFHL</f>
        <v>22.87</v>
      </c>
      <c r="J232" s="64" t="s">
        <v>1643</v>
      </c>
      <c r="K232" s="201">
        <f>ROUND(I232*TEClubrifiant,2)</f>
        <v>0.85</v>
      </c>
      <c r="L232" s="139"/>
      <c r="M232" s="248" t="s">
        <v>1644</v>
      </c>
      <c r="N232" s="638"/>
      <c r="O232" s="663">
        <f>TGAP</f>
        <v>3.811</v>
      </c>
      <c r="P232" s="234" t="str">
        <f>P</f>
        <v>. . .</v>
      </c>
      <c r="Q232" s="186">
        <f>TVATGAPLUBMETRO</f>
        <v>5.396076000000001</v>
      </c>
      <c r="R232" s="186">
        <f>TVATGAPLUBCORSE</f>
        <v>3.5790300000000004</v>
      </c>
      <c r="S232" s="363"/>
      <c r="T232" s="149">
        <v>5703</v>
      </c>
      <c r="U232" s="51" t="s">
        <v>1645</v>
      </c>
      <c r="W232" s="157">
        <v>5942</v>
      </c>
      <c r="X232" s="157"/>
      <c r="Y232" s="141"/>
      <c r="Z232" s="141"/>
      <c r="AA232" s="141"/>
      <c r="AB232" s="19"/>
      <c r="AC232" s="20"/>
      <c r="AD232" s="21"/>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31"/>
    </row>
    <row r="233" spans="1:59" ht="24" customHeight="1">
      <c r="A233" s="434">
        <v>112</v>
      </c>
      <c r="B233" s="74" t="s">
        <v>1646</v>
      </c>
      <c r="C233" s="91" t="s">
        <v>1647</v>
      </c>
      <c r="D233" s="81" t="str">
        <f>P</f>
        <v>. . .</v>
      </c>
      <c r="E233" s="432">
        <f>TEClubrifiant</f>
        <v>0.037</v>
      </c>
      <c r="F233" s="140"/>
      <c r="G233" s="108" t="str">
        <f>P</f>
        <v>. . .</v>
      </c>
      <c r="H233" s="109" t="str">
        <f>P</f>
        <v>. . .</v>
      </c>
      <c r="I233" s="716">
        <f>VFHL</f>
        <v>22.87</v>
      </c>
      <c r="J233" s="64" t="s">
        <v>1648</v>
      </c>
      <c r="K233" s="201">
        <f>ROUND(I233*TEClubrifiant,2)</f>
        <v>0.85</v>
      </c>
      <c r="L233" s="139"/>
      <c r="M233" s="248" t="s">
        <v>1649</v>
      </c>
      <c r="N233" s="638"/>
      <c r="O233" s="663"/>
      <c r="P233" s="234" t="str">
        <f>P</f>
        <v>. . .</v>
      </c>
      <c r="Q233" s="186">
        <f>TVALUBMETRO</f>
        <v>4.649120000000001</v>
      </c>
      <c r="R233" s="186">
        <f>TVALUBCORSE</f>
        <v>3.0836000000000006</v>
      </c>
      <c r="S233" s="156"/>
      <c r="V233" s="52"/>
      <c r="W233" s="185">
        <v>5900</v>
      </c>
      <c r="X233" s="185"/>
      <c r="Y233" s="141">
        <v>9348</v>
      </c>
      <c r="Z233" s="141">
        <v>9181</v>
      </c>
      <c r="AA233" s="18" t="s">
        <v>1650</v>
      </c>
      <c r="AB233" s="19"/>
      <c r="AC233" s="20"/>
      <c r="AD233" s="21"/>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31"/>
    </row>
    <row r="234" spans="1:92" s="440" customFormat="1" ht="13.5" thickBot="1">
      <c r="A234" s="434"/>
      <c r="B234" s="74"/>
      <c r="C234" s="91" t="s">
        <v>1651</v>
      </c>
      <c r="D234" s="81"/>
      <c r="E234" s="703"/>
      <c r="F234" s="140"/>
      <c r="G234" s="108"/>
      <c r="H234" s="109"/>
      <c r="I234" s="64"/>
      <c r="J234" s="64"/>
      <c r="K234" s="452"/>
      <c r="L234" s="139"/>
      <c r="M234" s="248"/>
      <c r="N234" s="638"/>
      <c r="O234" s="663"/>
      <c r="P234" s="234"/>
      <c r="Q234" s="186"/>
      <c r="R234" s="186"/>
      <c r="S234" s="156"/>
      <c r="T234" s="149"/>
      <c r="U234" s="150"/>
      <c r="V234" s="151"/>
      <c r="W234" s="152"/>
      <c r="X234" s="152"/>
      <c r="Y234" s="722">
        <v>9348</v>
      </c>
      <c r="Z234" s="141"/>
      <c r="AA234" s="722"/>
      <c r="AB234" s="723"/>
      <c r="AC234" s="501"/>
      <c r="AD234" s="724"/>
      <c r="AE234" s="437"/>
      <c r="AF234" s="437"/>
      <c r="AG234" s="437"/>
      <c r="AH234" s="437"/>
      <c r="AI234" s="437"/>
      <c r="AJ234" s="437"/>
      <c r="AK234" s="437"/>
      <c r="AL234" s="437"/>
      <c r="AM234" s="437"/>
      <c r="AN234" s="437"/>
      <c r="AO234" s="437"/>
      <c r="AP234" s="437"/>
      <c r="AQ234" s="437"/>
      <c r="AR234" s="437"/>
      <c r="AS234" s="437"/>
      <c r="AT234" s="437"/>
      <c r="AU234" s="437"/>
      <c r="AV234" s="437"/>
      <c r="AW234" s="437"/>
      <c r="AX234" s="437"/>
      <c r="AY234" s="437"/>
      <c r="AZ234" s="437"/>
      <c r="BA234" s="437"/>
      <c r="BB234" s="437"/>
      <c r="BC234" s="437"/>
      <c r="BD234" s="437"/>
      <c r="BE234" s="437"/>
      <c r="BF234" s="437"/>
      <c r="BG234" s="438"/>
      <c r="BH234" s="439"/>
      <c r="BI234" s="439"/>
      <c r="BJ234" s="439"/>
      <c r="BK234" s="439"/>
      <c r="BL234" s="439"/>
      <c r="BM234" s="439"/>
      <c r="BN234" s="439"/>
      <c r="BO234" s="439"/>
      <c r="BP234" s="439"/>
      <c r="BQ234" s="439"/>
      <c r="BR234" s="439"/>
      <c r="BS234" s="439"/>
      <c r="BT234" s="439"/>
      <c r="BU234" s="439"/>
      <c r="BV234" s="439"/>
      <c r="BW234" s="439"/>
      <c r="BX234" s="439"/>
      <c r="BY234" s="439"/>
      <c r="BZ234" s="439"/>
      <c r="CA234" s="439"/>
      <c r="CB234" s="439"/>
      <c r="CC234" s="439"/>
      <c r="CD234" s="439"/>
      <c r="CE234" s="439"/>
      <c r="CF234" s="439"/>
      <c r="CG234" s="439"/>
      <c r="CH234" s="439"/>
      <c r="CI234" s="439"/>
      <c r="CJ234" s="439"/>
      <c r="CK234" s="439"/>
      <c r="CL234" s="439"/>
      <c r="CM234" s="439"/>
      <c r="CN234" s="439"/>
    </row>
    <row r="235" spans="1:59" ht="18.75">
      <c r="A235" s="447">
        <v>113</v>
      </c>
      <c r="B235" s="290" t="s">
        <v>1652</v>
      </c>
      <c r="C235" s="449" t="s">
        <v>1653</v>
      </c>
      <c r="D235" s="81" t="str">
        <f>P</f>
        <v>. . .</v>
      </c>
      <c r="E235" s="432">
        <f>TEClubrifiant</f>
        <v>0.037</v>
      </c>
      <c r="F235" s="140"/>
      <c r="G235" s="108" t="str">
        <f>P</f>
        <v>. . .</v>
      </c>
      <c r="H235" s="109" t="str">
        <f>P</f>
        <v>. . .</v>
      </c>
      <c r="I235" s="716">
        <f>VFHL</f>
        <v>22.87</v>
      </c>
      <c r="J235" s="64" t="s">
        <v>1654</v>
      </c>
      <c r="K235" s="201">
        <f>ROUND(I235*TEClubrifiant,2)</f>
        <v>0.85</v>
      </c>
      <c r="L235" s="139"/>
      <c r="M235" s="248" t="s">
        <v>1655</v>
      </c>
      <c r="N235" s="638"/>
      <c r="O235" s="663">
        <f>TGAP</f>
        <v>3.811</v>
      </c>
      <c r="P235" s="234" t="str">
        <f>P</f>
        <v>. . .</v>
      </c>
      <c r="Q235" s="186">
        <f>TVATGAPLUBMETRO</f>
        <v>5.396076000000001</v>
      </c>
      <c r="R235" s="186">
        <f>TVATGAPLUBCORSE</f>
        <v>3.5790300000000004</v>
      </c>
      <c r="S235" s="363"/>
      <c r="T235" s="149">
        <v>5703</v>
      </c>
      <c r="U235" s="51" t="s">
        <v>1656</v>
      </c>
      <c r="W235" s="157">
        <v>5942</v>
      </c>
      <c r="X235" s="157"/>
      <c r="Y235" s="141"/>
      <c r="Z235" s="141"/>
      <c r="AA235" s="18"/>
      <c r="AB235" s="19"/>
      <c r="AC235" s="20"/>
      <c r="AD235" s="21"/>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31"/>
    </row>
    <row r="236" spans="1:92" s="450" customFormat="1" ht="12.75">
      <c r="A236" s="434">
        <v>114</v>
      </c>
      <c r="B236" s="246" t="s">
        <v>1657</v>
      </c>
      <c r="C236" s="91" t="s">
        <v>1658</v>
      </c>
      <c r="D236" s="81" t="str">
        <f>P</f>
        <v>. . .</v>
      </c>
      <c r="E236" s="432">
        <f>TEClubrifiant</f>
        <v>0.037</v>
      </c>
      <c r="F236" s="140"/>
      <c r="G236" s="108" t="str">
        <f>P</f>
        <v>. . .</v>
      </c>
      <c r="H236" s="109" t="str">
        <f>P</f>
        <v>. . .</v>
      </c>
      <c r="I236" s="716">
        <f>VFHL</f>
        <v>22.87</v>
      </c>
      <c r="J236" s="64" t="s">
        <v>1659</v>
      </c>
      <c r="K236" s="201">
        <f>ROUND(I236*TEClubrifiant,2)</f>
        <v>0.85</v>
      </c>
      <c r="L236" s="139"/>
      <c r="M236" s="248" t="s">
        <v>1660</v>
      </c>
      <c r="N236" s="184"/>
      <c r="O236" s="532"/>
      <c r="P236" s="234" t="str">
        <f>P</f>
        <v>. . .</v>
      </c>
      <c r="Q236" s="186">
        <f>TVALUBMETRO</f>
        <v>4.649120000000001</v>
      </c>
      <c r="R236" s="186">
        <f>TVALUBCORSE</f>
        <v>3.0836000000000006</v>
      </c>
      <c r="S236" s="461"/>
      <c r="T236" s="444"/>
      <c r="U236" s="445"/>
      <c r="V236" s="446"/>
      <c r="W236" s="462">
        <v>5900</v>
      </c>
      <c r="X236" s="462"/>
      <c r="Y236" s="141"/>
      <c r="Z236" s="141"/>
      <c r="AA236" s="18"/>
      <c r="AB236" s="19"/>
      <c r="AC236" s="20"/>
      <c r="AD236" s="21"/>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31"/>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row>
    <row r="237" spans="1:59" ht="12.75">
      <c r="A237" s="434"/>
      <c r="B237" s="74"/>
      <c r="C237" s="91"/>
      <c r="D237" s="81"/>
      <c r="E237" s="432"/>
      <c r="F237" s="140"/>
      <c r="G237" s="108"/>
      <c r="H237" s="109"/>
      <c r="I237" s="64"/>
      <c r="J237" s="64"/>
      <c r="K237" s="201"/>
      <c r="L237" s="139"/>
      <c r="M237" s="248"/>
      <c r="N237" s="638"/>
      <c r="O237" s="655"/>
      <c r="P237" s="234"/>
      <c r="Q237" s="186"/>
      <c r="R237" s="186"/>
      <c r="S237" s="156"/>
      <c r="T237" s="463"/>
      <c r="U237" s="464"/>
      <c r="V237" s="52"/>
      <c r="W237" s="152"/>
      <c r="X237" s="152"/>
      <c r="Y237" s="141"/>
      <c r="Z237" s="141"/>
      <c r="AA237" s="18"/>
      <c r="AB237" s="19"/>
      <c r="AC237" s="20"/>
      <c r="AD237" s="21"/>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31"/>
    </row>
    <row r="238" spans="1:59" ht="12.75">
      <c r="A238" s="434"/>
      <c r="B238" s="74"/>
      <c r="C238" s="465" t="s">
        <v>1661</v>
      </c>
      <c r="D238" s="81"/>
      <c r="E238" s="432"/>
      <c r="F238" s="140"/>
      <c r="G238" s="108"/>
      <c r="H238" s="109"/>
      <c r="I238" s="64"/>
      <c r="J238" s="64"/>
      <c r="K238" s="201"/>
      <c r="L238" s="139"/>
      <c r="M238" s="248"/>
      <c r="N238" s="638"/>
      <c r="O238" s="655"/>
      <c r="P238" s="234"/>
      <c r="Q238" s="186"/>
      <c r="R238" s="186"/>
      <c r="S238" s="156"/>
      <c r="T238" s="463"/>
      <c r="U238" s="464"/>
      <c r="V238" s="52"/>
      <c r="W238" s="152"/>
      <c r="X238" s="152"/>
      <c r="Y238" s="141"/>
      <c r="Z238" s="141"/>
      <c r="AA238" s="18"/>
      <c r="AB238" s="19"/>
      <c r="AC238" s="20"/>
      <c r="AD238" s="21"/>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31"/>
    </row>
    <row r="239" spans="1:59" s="7" customFormat="1" ht="12.75">
      <c r="A239" s="434"/>
      <c r="B239" s="74"/>
      <c r="C239" s="91" t="s">
        <v>1662</v>
      </c>
      <c r="D239" s="81"/>
      <c r="E239" s="432"/>
      <c r="F239" s="140"/>
      <c r="G239" s="108"/>
      <c r="H239" s="109"/>
      <c r="I239" s="64"/>
      <c r="J239" s="64"/>
      <c r="K239" s="201"/>
      <c r="L239" s="139"/>
      <c r="M239" s="248"/>
      <c r="N239" s="638"/>
      <c r="O239" s="655"/>
      <c r="P239" s="234"/>
      <c r="Q239" s="186"/>
      <c r="R239" s="186"/>
      <c r="S239" s="156"/>
      <c r="T239" s="463"/>
      <c r="U239" s="464"/>
      <c r="V239" s="52"/>
      <c r="W239" s="152"/>
      <c r="X239" s="152"/>
      <c r="Y239" s="141"/>
      <c r="Z239" s="141"/>
      <c r="AA239" s="18"/>
      <c r="AB239" s="19"/>
      <c r="AC239" s="20"/>
      <c r="AD239" s="21"/>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31"/>
    </row>
    <row r="240" spans="1:59" s="7" customFormat="1" ht="12.75">
      <c r="A240" s="434"/>
      <c r="B240" s="74"/>
      <c r="C240" s="91" t="s">
        <v>1663</v>
      </c>
      <c r="D240" s="669"/>
      <c r="E240" s="704"/>
      <c r="F240" s="140"/>
      <c r="G240" s="108"/>
      <c r="H240" s="109"/>
      <c r="I240" s="64"/>
      <c r="J240" s="64"/>
      <c r="K240" s="202"/>
      <c r="L240" s="139"/>
      <c r="M240" s="248"/>
      <c r="N240" s="638"/>
      <c r="O240" s="655"/>
      <c r="P240" s="234"/>
      <c r="Q240" s="186"/>
      <c r="R240" s="186"/>
      <c r="S240" s="156"/>
      <c r="T240" s="463"/>
      <c r="U240" s="464"/>
      <c r="V240" s="52"/>
      <c r="W240" s="152"/>
      <c r="X240" s="152"/>
      <c r="Y240" s="141"/>
      <c r="Z240" s="141"/>
      <c r="AA240" s="18"/>
      <c r="AB240" s="19"/>
      <c r="AC240" s="20"/>
      <c r="AD240" s="21"/>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31"/>
    </row>
    <row r="241" spans="1:59" s="7" customFormat="1" ht="12.75">
      <c r="A241" s="447">
        <v>115</v>
      </c>
      <c r="B241" s="290" t="s">
        <v>1664</v>
      </c>
      <c r="C241" s="91" t="s">
        <v>1665</v>
      </c>
      <c r="D241" s="81"/>
      <c r="E241" s="704"/>
      <c r="F241" s="140"/>
      <c r="G241" s="183"/>
      <c r="H241" s="63"/>
      <c r="I241" s="64"/>
      <c r="J241" s="64"/>
      <c r="K241" s="201"/>
      <c r="L241" s="138"/>
      <c r="M241" s="248"/>
      <c r="N241" s="638"/>
      <c r="O241" s="663"/>
      <c r="P241" s="234"/>
      <c r="Q241" s="186"/>
      <c r="R241" s="186"/>
      <c r="S241" s="156"/>
      <c r="T241" s="149"/>
      <c r="U241" s="51"/>
      <c r="V241" s="52"/>
      <c r="W241" s="152"/>
      <c r="X241" s="152"/>
      <c r="Y241" s="241">
        <v>9337</v>
      </c>
      <c r="Z241" s="141"/>
      <c r="AA241" s="18"/>
      <c r="AB241" s="19"/>
      <c r="AC241" s="20"/>
      <c r="AD241" s="21"/>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31"/>
    </row>
    <row r="242" spans="1:59" ht="12.75">
      <c r="A242" s="434"/>
      <c r="B242" s="74"/>
      <c r="C242" s="91" t="s">
        <v>1666</v>
      </c>
      <c r="D242" s="669"/>
      <c r="E242" s="704"/>
      <c r="F242" s="140"/>
      <c r="G242" s="108"/>
      <c r="H242" s="109"/>
      <c r="I242" s="64"/>
      <c r="J242" s="64"/>
      <c r="K242" s="201"/>
      <c r="L242" s="139"/>
      <c r="M242" s="248"/>
      <c r="N242" s="638"/>
      <c r="O242" s="663"/>
      <c r="P242" s="234"/>
      <c r="Q242" s="186"/>
      <c r="R242" s="186"/>
      <c r="S242" s="156"/>
      <c r="T242" s="463"/>
      <c r="U242" s="464"/>
      <c r="V242" s="52"/>
      <c r="W242" s="152"/>
      <c r="X242" s="152"/>
      <c r="Y242" s="141">
        <v>4004</v>
      </c>
      <c r="Z242" s="141">
        <v>9348</v>
      </c>
      <c r="AA242" s="18"/>
      <c r="AB242" s="19"/>
      <c r="AC242" s="20"/>
      <c r="AD242" s="21"/>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31"/>
    </row>
    <row r="243" spans="1:59" ht="12.75">
      <c r="A243" s="434"/>
      <c r="B243" s="74"/>
      <c r="C243" s="91" t="s">
        <v>1667</v>
      </c>
      <c r="D243" s="669" t="s">
        <v>1668</v>
      </c>
      <c r="E243" s="704">
        <v>0.035</v>
      </c>
      <c r="F243" s="140"/>
      <c r="G243" s="108"/>
      <c r="H243" s="109"/>
      <c r="I243" s="64" t="str">
        <f>R</f>
        <v>Réelle</v>
      </c>
      <c r="J243" s="64" t="s">
        <v>1669</v>
      </c>
      <c r="K243" s="201" t="e">
        <f>ROUND(I243*TEChuilelourde,2)</f>
        <v>#VALUE!</v>
      </c>
      <c r="L243" s="139"/>
      <c r="M243" s="248" t="s">
        <v>1670</v>
      </c>
      <c r="N243" s="638"/>
      <c r="O243" s="663" t="str">
        <f>P</f>
        <v>. . .</v>
      </c>
      <c r="P243" s="234" t="s">
        <v>1671</v>
      </c>
      <c r="Q243" s="186" t="str">
        <f>VI</f>
        <v>(25)</v>
      </c>
      <c r="R243" s="186" t="str">
        <f>VI</f>
        <v>(25)</v>
      </c>
      <c r="S243" s="156"/>
      <c r="T243" s="463"/>
      <c r="U243" s="464"/>
      <c r="V243" s="52"/>
      <c r="W243" s="152" t="s">
        <v>1672</v>
      </c>
      <c r="X243" s="152"/>
      <c r="Y243" s="141"/>
      <c r="Z243" s="141"/>
      <c r="AA243" s="18"/>
      <c r="AB243" s="19"/>
      <c r="AC243" s="20"/>
      <c r="AD243" s="21"/>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31"/>
    </row>
    <row r="244" spans="1:59" ht="12.75">
      <c r="A244" s="434">
        <v>116</v>
      </c>
      <c r="B244" s="74" t="s">
        <v>1673</v>
      </c>
      <c r="C244" s="91" t="s">
        <v>1674</v>
      </c>
      <c r="D244" s="669" t="s">
        <v>1675</v>
      </c>
      <c r="E244" s="704">
        <v>0.035</v>
      </c>
      <c r="F244" s="140"/>
      <c r="G244" s="108"/>
      <c r="H244" s="109"/>
      <c r="I244" s="64" t="str">
        <f>R</f>
        <v>Réelle</v>
      </c>
      <c r="J244" s="64" t="s">
        <v>1676</v>
      </c>
      <c r="K244" s="201" t="e">
        <f>ROUND(I244*TEChuilelourde,2)</f>
        <v>#VALUE!</v>
      </c>
      <c r="L244" s="139"/>
      <c r="M244" s="248" t="str">
        <f>"(9)"</f>
        <v>(9)</v>
      </c>
      <c r="N244" s="638"/>
      <c r="O244" s="663" t="str">
        <f>P</f>
        <v>. . .</v>
      </c>
      <c r="P244" s="234" t="s">
        <v>1677</v>
      </c>
      <c r="Q244" s="186" t="str">
        <f>VI</f>
        <v>(25)</v>
      </c>
      <c r="R244" s="186" t="str">
        <f>VI</f>
        <v>(25)</v>
      </c>
      <c r="S244" s="156"/>
      <c r="T244" s="463"/>
      <c r="U244" s="464"/>
      <c r="V244" s="52"/>
      <c r="W244" s="152" t="s">
        <v>1678</v>
      </c>
      <c r="X244" s="152"/>
      <c r="Y244" s="141"/>
      <c r="Z244" s="141"/>
      <c r="AA244" s="18"/>
      <c r="AB244" s="19"/>
      <c r="AC244" s="20"/>
      <c r="AD244" s="21"/>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31"/>
    </row>
    <row r="245" spans="1:59" ht="12.75">
      <c r="A245" s="434"/>
      <c r="B245" s="74"/>
      <c r="C245" s="91" t="s">
        <v>1679</v>
      </c>
      <c r="D245" s="669"/>
      <c r="E245" s="704"/>
      <c r="F245" s="140"/>
      <c r="G245" s="108"/>
      <c r="H245" s="109"/>
      <c r="I245" s="64"/>
      <c r="J245" s="64"/>
      <c r="K245" s="202"/>
      <c r="L245" s="139"/>
      <c r="M245" s="248"/>
      <c r="N245" s="638"/>
      <c r="O245" s="663"/>
      <c r="P245" s="234"/>
      <c r="Q245" s="186"/>
      <c r="R245" s="186"/>
      <c r="S245" s="156"/>
      <c r="T245" s="463"/>
      <c r="U245" s="464"/>
      <c r="V245" s="52"/>
      <c r="W245" s="152"/>
      <c r="X245" s="152"/>
      <c r="Y245" s="141"/>
      <c r="Z245" s="141"/>
      <c r="AA245" s="18"/>
      <c r="AB245" s="19"/>
      <c r="AC245" s="20"/>
      <c r="AD245" s="21"/>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31"/>
    </row>
    <row r="246" spans="1:59" ht="12.75">
      <c r="A246" s="434">
        <v>117</v>
      </c>
      <c r="B246" s="290" t="s">
        <v>1680</v>
      </c>
      <c r="C246" s="91" t="s">
        <v>1681</v>
      </c>
      <c r="D246" s="669"/>
      <c r="E246" s="704"/>
      <c r="F246" s="140"/>
      <c r="G246" s="108"/>
      <c r="H246" s="109"/>
      <c r="I246" s="64"/>
      <c r="J246" s="64"/>
      <c r="K246" s="201"/>
      <c r="L246" s="139"/>
      <c r="M246" s="248"/>
      <c r="N246" s="638"/>
      <c r="O246" s="655"/>
      <c r="P246" s="234"/>
      <c r="Q246" s="186"/>
      <c r="R246" s="186"/>
      <c r="S246" s="156"/>
      <c r="T246" s="149"/>
      <c r="U246" s="51"/>
      <c r="V246" s="52"/>
      <c r="W246" s="152"/>
      <c r="X246" s="152"/>
      <c r="Y246" s="241">
        <v>9337</v>
      </c>
      <c r="Z246" s="141"/>
      <c r="AA246" s="18"/>
      <c r="AB246" s="19"/>
      <c r="AC246" s="20"/>
      <c r="AD246" s="21"/>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31"/>
    </row>
    <row r="247" spans="1:59" ht="12.75">
      <c r="A247" s="434"/>
      <c r="B247" s="74"/>
      <c r="C247" s="91" t="s">
        <v>1682</v>
      </c>
      <c r="D247" s="669"/>
      <c r="E247" s="704"/>
      <c r="F247" s="140"/>
      <c r="G247" s="108"/>
      <c r="H247" s="109"/>
      <c r="I247" s="64"/>
      <c r="J247" s="64"/>
      <c r="K247" s="201"/>
      <c r="L247" s="139"/>
      <c r="M247" s="248"/>
      <c r="N247" s="638"/>
      <c r="O247" s="655"/>
      <c r="P247" s="234"/>
      <c r="Q247" s="186"/>
      <c r="R247" s="186"/>
      <c r="S247" s="156"/>
      <c r="T247" s="463"/>
      <c r="U247" s="464"/>
      <c r="V247" s="52"/>
      <c r="W247" s="152"/>
      <c r="X247" s="152"/>
      <c r="Y247" s="141">
        <v>4004</v>
      </c>
      <c r="Z247" s="141">
        <v>9348</v>
      </c>
      <c r="AA247" s="18"/>
      <c r="AB247" s="19"/>
      <c r="AC247" s="20"/>
      <c r="AD247" s="21"/>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31"/>
    </row>
    <row r="248" spans="1:92" s="450" customFormat="1" ht="12.75">
      <c r="A248" s="434"/>
      <c r="B248" s="74"/>
      <c r="C248" s="91" t="s">
        <v>1683</v>
      </c>
      <c r="D248" s="669" t="s">
        <v>1684</v>
      </c>
      <c r="E248" s="704">
        <v>0.035</v>
      </c>
      <c r="F248" s="140"/>
      <c r="G248" s="108"/>
      <c r="H248" s="109"/>
      <c r="I248" s="64" t="str">
        <f>R</f>
        <v>Réelle</v>
      </c>
      <c r="J248" s="64" t="s">
        <v>1685</v>
      </c>
      <c r="K248" s="201" t="e">
        <f>ROUND(I248*TEChuilelourde,2)</f>
        <v>#VALUE!</v>
      </c>
      <c r="L248" s="139"/>
      <c r="M248" s="248" t="s">
        <v>1686</v>
      </c>
      <c r="N248" s="638"/>
      <c r="O248" s="655" t="str">
        <f>P</f>
        <v>. . .</v>
      </c>
      <c r="P248" s="234" t="s">
        <v>1687</v>
      </c>
      <c r="Q248" s="186" t="str">
        <f>VI</f>
        <v>(25)</v>
      </c>
      <c r="R248" s="186" t="str">
        <f>VI</f>
        <v>(25)</v>
      </c>
      <c r="S248" s="156"/>
      <c r="T248" s="463"/>
      <c r="U248" s="464"/>
      <c r="V248" s="52"/>
      <c r="W248" s="152" t="s">
        <v>1688</v>
      </c>
      <c r="X248" s="152"/>
      <c r="Y248" s="141"/>
      <c r="Z248" s="141"/>
      <c r="AA248" s="141"/>
      <c r="AB248" s="19"/>
      <c r="AC248" s="20"/>
      <c r="AD248" s="21"/>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31"/>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row>
    <row r="249" spans="1:59" ht="12.75">
      <c r="A249" s="434">
        <v>118</v>
      </c>
      <c r="B249" s="74" t="s">
        <v>1689</v>
      </c>
      <c r="C249" s="91" t="s">
        <v>1690</v>
      </c>
      <c r="D249" s="669" t="s">
        <v>1691</v>
      </c>
      <c r="E249" s="704">
        <v>0.035</v>
      </c>
      <c r="F249" s="140"/>
      <c r="G249" s="108"/>
      <c r="H249" s="109"/>
      <c r="I249" s="64" t="str">
        <f>R</f>
        <v>Réelle</v>
      </c>
      <c r="J249" s="64" t="s">
        <v>1692</v>
      </c>
      <c r="K249" s="201" t="e">
        <f>ROUND(I249*TEChuilelourde,2)</f>
        <v>#VALUE!</v>
      </c>
      <c r="L249" s="139"/>
      <c r="M249" s="248" t="str">
        <f>"(9)"</f>
        <v>(9)</v>
      </c>
      <c r="N249" s="638"/>
      <c r="O249" s="655" t="str">
        <f>P</f>
        <v>. . .</v>
      </c>
      <c r="P249" s="234" t="s">
        <v>1693</v>
      </c>
      <c r="Q249" s="186" t="str">
        <f>VI</f>
        <v>(25)</v>
      </c>
      <c r="R249" s="186" t="str">
        <f>VI</f>
        <v>(25)</v>
      </c>
      <c r="S249" s="156"/>
      <c r="T249" s="463"/>
      <c r="U249" s="464"/>
      <c r="V249" s="52"/>
      <c r="W249" s="152" t="s">
        <v>1694</v>
      </c>
      <c r="X249" s="152"/>
      <c r="Y249" s="141"/>
      <c r="Z249" s="141"/>
      <c r="AA249" s="141"/>
      <c r="AB249" s="19"/>
      <c r="AC249" s="20"/>
      <c r="AD249" s="233"/>
      <c r="AE249" s="206"/>
      <c r="AF249" s="206"/>
      <c r="AG249" s="206"/>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31"/>
    </row>
    <row r="250" spans="1:59" ht="12.75">
      <c r="A250" s="434"/>
      <c r="B250" s="466"/>
      <c r="C250" s="467"/>
      <c r="D250" s="669"/>
      <c r="E250" s="432"/>
      <c r="F250" s="140"/>
      <c r="G250" s="108"/>
      <c r="H250" s="109"/>
      <c r="I250" s="64"/>
      <c r="J250" s="64"/>
      <c r="K250" s="247"/>
      <c r="L250" s="139"/>
      <c r="M250" s="248"/>
      <c r="N250" s="638"/>
      <c r="O250" s="655"/>
      <c r="P250" s="234"/>
      <c r="Q250" s="186"/>
      <c r="R250" s="186"/>
      <c r="S250" s="156"/>
      <c r="T250" s="149"/>
      <c r="U250" s="150"/>
      <c r="V250" s="151"/>
      <c r="W250" s="152"/>
      <c r="X250" s="152"/>
      <c r="Y250" s="217"/>
      <c r="Z250" s="217"/>
      <c r="AA250" s="141"/>
      <c r="AB250" s="19"/>
      <c r="AC250" s="20"/>
      <c r="AD250" s="233"/>
      <c r="AE250" s="206"/>
      <c r="AF250" s="206"/>
      <c r="AG250" s="206"/>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31"/>
    </row>
    <row r="251" spans="1:59" ht="12.75">
      <c r="A251" s="434"/>
      <c r="B251" s="468"/>
      <c r="C251" s="469" t="s">
        <v>1695</v>
      </c>
      <c r="D251" s="669"/>
      <c r="E251" s="432"/>
      <c r="F251" s="140"/>
      <c r="G251" s="108"/>
      <c r="H251" s="109"/>
      <c r="I251" s="64"/>
      <c r="J251" s="64"/>
      <c r="K251" s="139"/>
      <c r="L251" s="139"/>
      <c r="M251" s="248"/>
      <c r="N251" s="638"/>
      <c r="O251" s="655"/>
      <c r="P251" s="234"/>
      <c r="Q251" s="186"/>
      <c r="R251" s="186"/>
      <c r="S251" s="363"/>
      <c r="T251" s="149"/>
      <c r="U251" s="150"/>
      <c r="V251" s="151"/>
      <c r="W251" s="152"/>
      <c r="X251" s="152"/>
      <c r="Y251" s="18"/>
      <c r="Z251" s="18"/>
      <c r="AA251" s="141"/>
      <c r="AB251" s="19"/>
      <c r="AC251" s="20"/>
      <c r="AD251" s="233"/>
      <c r="AE251" s="206"/>
      <c r="AF251" s="206"/>
      <c r="AG251" s="206"/>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31"/>
    </row>
    <row r="252" spans="1:59" ht="12.75">
      <c r="A252" s="434"/>
      <c r="B252" s="466"/>
      <c r="C252" s="470" t="s">
        <v>1696</v>
      </c>
      <c r="D252" s="675"/>
      <c r="E252" s="695"/>
      <c r="F252" s="240"/>
      <c r="G252" s="238"/>
      <c r="H252" s="238"/>
      <c r="I252" s="235"/>
      <c r="J252" s="235"/>
      <c r="K252" s="239"/>
      <c r="L252" s="239"/>
      <c r="M252" s="248"/>
      <c r="N252" s="31"/>
      <c r="O252" s="526"/>
      <c r="P252" s="240"/>
      <c r="Q252" s="186"/>
      <c r="R252" s="186"/>
      <c r="S252" s="156"/>
      <c r="T252" s="220"/>
      <c r="U252" s="221"/>
      <c r="V252" s="222"/>
      <c r="W252" s="223"/>
      <c r="X252" s="223"/>
      <c r="Y252" s="32"/>
      <c r="Z252" s="32"/>
      <c r="AA252" s="141"/>
      <c r="AB252" s="19"/>
      <c r="AC252" s="20"/>
      <c r="AD252" s="233"/>
      <c r="AE252" s="206"/>
      <c r="AF252" s="206"/>
      <c r="AG252" s="206"/>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31"/>
    </row>
    <row r="253" spans="1:59" ht="12.75">
      <c r="A253" s="434"/>
      <c r="B253" s="466"/>
      <c r="C253" s="467" t="s">
        <v>1697</v>
      </c>
      <c r="D253" s="675"/>
      <c r="E253" s="695"/>
      <c r="F253" s="240"/>
      <c r="G253" s="238"/>
      <c r="H253" s="238"/>
      <c r="I253" s="235"/>
      <c r="J253" s="235"/>
      <c r="K253" s="239"/>
      <c r="L253" s="239"/>
      <c r="M253" s="248"/>
      <c r="N253" s="31"/>
      <c r="O253" s="526"/>
      <c r="P253" s="240"/>
      <c r="Q253" s="186"/>
      <c r="R253" s="186"/>
      <c r="S253" s="156"/>
      <c r="T253" s="50"/>
      <c r="U253" s="51"/>
      <c r="V253" s="52"/>
      <c r="W253" s="53"/>
      <c r="X253" s="53"/>
      <c r="Y253" s="13">
        <v>4004</v>
      </c>
      <c r="Z253" s="13">
        <v>9301</v>
      </c>
      <c r="AA253" s="217"/>
      <c r="AB253" s="19"/>
      <c r="AC253" s="20"/>
      <c r="AD253" s="21"/>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31"/>
    </row>
    <row r="254" spans="1:59" ht="12.75">
      <c r="A254" s="434"/>
      <c r="B254" s="466"/>
      <c r="C254" s="471" t="s">
        <v>1698</v>
      </c>
      <c r="D254" s="675"/>
      <c r="E254" s="695"/>
      <c r="F254" s="240"/>
      <c r="G254" s="238"/>
      <c r="H254" s="238"/>
      <c r="I254" s="235"/>
      <c r="J254" s="235"/>
      <c r="K254" s="239"/>
      <c r="L254" s="239"/>
      <c r="M254" s="248"/>
      <c r="N254" s="31"/>
      <c r="O254" s="526"/>
      <c r="P254" s="240"/>
      <c r="Q254" s="186"/>
      <c r="R254" s="186"/>
      <c r="S254" s="156"/>
      <c r="T254" s="70"/>
      <c r="U254" s="71"/>
      <c r="V254" s="72"/>
      <c r="W254" s="73"/>
      <c r="X254" s="73"/>
      <c r="Y254" s="32">
        <v>9301</v>
      </c>
      <c r="Z254" s="32"/>
      <c r="AB254" s="19"/>
      <c r="AC254" s="20"/>
      <c r="AD254" s="21"/>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31"/>
    </row>
    <row r="255" spans="1:59" ht="12.75">
      <c r="A255" s="434">
        <v>119</v>
      </c>
      <c r="B255" s="466" t="s">
        <v>1699</v>
      </c>
      <c r="C255" s="467" t="s">
        <v>1700</v>
      </c>
      <c r="D255" s="669" t="s">
        <v>1701</v>
      </c>
      <c r="E255" s="704">
        <v>0.08</v>
      </c>
      <c r="F255" s="240"/>
      <c r="G255" s="238"/>
      <c r="H255" s="238"/>
      <c r="I255" s="64" t="str">
        <f>R</f>
        <v>Réelle</v>
      </c>
      <c r="J255" s="235"/>
      <c r="K255" s="472">
        <v>0.08</v>
      </c>
      <c r="L255" s="239"/>
      <c r="M255" s="248" t="str">
        <f>"(9)"</f>
        <v>(9)</v>
      </c>
      <c r="N255" s="638"/>
      <c r="O255" s="655" t="str">
        <f>P</f>
        <v>. . .</v>
      </c>
      <c r="P255" s="234" t="s">
        <v>1702</v>
      </c>
      <c r="Q255" s="186" t="str">
        <f>VI</f>
        <v>(25)</v>
      </c>
      <c r="R255" s="186" t="str">
        <f>VI</f>
        <v>(25)</v>
      </c>
      <c r="S255" s="156"/>
      <c r="W255" s="12" t="str">
        <f>t</f>
        <v>TVO</v>
      </c>
      <c r="Y255" s="32"/>
      <c r="Z255" s="32"/>
      <c r="AB255" s="19"/>
      <c r="AC255" s="20"/>
      <c r="AD255" s="21"/>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31"/>
    </row>
    <row r="256" spans="1:59" ht="12.75">
      <c r="A256" s="434">
        <v>120</v>
      </c>
      <c r="B256" s="466" t="s">
        <v>1703</v>
      </c>
      <c r="C256" s="467" t="s">
        <v>1704</v>
      </c>
      <c r="D256" s="669" t="s">
        <v>1705</v>
      </c>
      <c r="E256" s="432" t="s">
        <v>1706</v>
      </c>
      <c r="F256" s="240"/>
      <c r="G256" s="238"/>
      <c r="H256" s="238"/>
      <c r="I256" s="64" t="str">
        <f>R</f>
        <v>Réelle</v>
      </c>
      <c r="J256" s="235"/>
      <c r="K256" s="202" t="s">
        <v>1707</v>
      </c>
      <c r="L256" s="239"/>
      <c r="M256" s="248" t="s">
        <v>1708</v>
      </c>
      <c r="N256" s="638"/>
      <c r="O256" s="655" t="str">
        <f>P</f>
        <v>. . .</v>
      </c>
      <c r="P256" s="234" t="s">
        <v>1709</v>
      </c>
      <c r="Q256" s="186" t="str">
        <f>VI</f>
        <v>(25)</v>
      </c>
      <c r="R256" s="186" t="str">
        <f>VI</f>
        <v>(25)</v>
      </c>
      <c r="S256" s="49"/>
      <c r="W256" s="73" t="str">
        <f>t</f>
        <v>TVO</v>
      </c>
      <c r="X256" s="73"/>
      <c r="Y256" s="32">
        <v>9052</v>
      </c>
      <c r="Z256" s="32">
        <v>9308</v>
      </c>
      <c r="AA256" s="32">
        <v>9301</v>
      </c>
      <c r="AB256" s="229"/>
      <c r="AC256" s="20"/>
      <c r="AD256" s="21"/>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31"/>
    </row>
    <row r="257" spans="1:59" ht="12.75">
      <c r="A257" s="434"/>
      <c r="B257" s="466"/>
      <c r="C257" s="471" t="s">
        <v>1710</v>
      </c>
      <c r="D257" s="675"/>
      <c r="E257" s="695"/>
      <c r="F257" s="240"/>
      <c r="G257" s="238"/>
      <c r="H257" s="238"/>
      <c r="I257" s="235"/>
      <c r="J257" s="235"/>
      <c r="K257" s="239"/>
      <c r="L257" s="239"/>
      <c r="M257" s="248"/>
      <c r="N257" s="31"/>
      <c r="O257" s="526"/>
      <c r="P257" s="240"/>
      <c r="Q257" s="186"/>
      <c r="R257" s="186"/>
      <c r="S257" s="69"/>
      <c r="T257" s="70"/>
      <c r="U257" s="71"/>
      <c r="V257" s="72"/>
      <c r="W257" s="73"/>
      <c r="X257" s="73"/>
      <c r="AA257" s="32"/>
      <c r="AB257" s="19"/>
      <c r="AC257" s="20"/>
      <c r="AD257" s="21"/>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31"/>
    </row>
    <row r="258" spans="1:59" ht="12.75">
      <c r="A258" s="434">
        <v>121</v>
      </c>
      <c r="B258" s="473" t="s">
        <v>1711</v>
      </c>
      <c r="C258" s="467" t="s">
        <v>1712</v>
      </c>
      <c r="D258" s="669" t="s">
        <v>1713</v>
      </c>
      <c r="E258" s="432" t="s">
        <v>1714</v>
      </c>
      <c r="F258" s="140"/>
      <c r="G258" s="108" t="s">
        <v>1715</v>
      </c>
      <c r="H258" s="109" t="s">
        <v>1716</v>
      </c>
      <c r="I258" s="64" t="str">
        <f>R</f>
        <v>Réelle</v>
      </c>
      <c r="J258" s="64" t="s">
        <v>1717</v>
      </c>
      <c r="K258" s="202" t="s">
        <v>1718</v>
      </c>
      <c r="L258" s="139"/>
      <c r="M258" s="248" t="str">
        <f>"(3)"</f>
        <v>(3)</v>
      </c>
      <c r="N258" s="638"/>
      <c r="O258" s="64" t="str">
        <f>P</f>
        <v>. . .</v>
      </c>
      <c r="P258" s="183" t="str">
        <f>"(3)"</f>
        <v>(3)</v>
      </c>
      <c r="Q258" s="186" t="str">
        <f>"(3)"</f>
        <v>(3)</v>
      </c>
      <c r="R258" s="186" t="str">
        <f>"(3)"</f>
        <v>(3)</v>
      </c>
      <c r="S258" s="296"/>
      <c r="W258" s="73" t="str">
        <f>t</f>
        <v>TVO</v>
      </c>
      <c r="X258" s="73">
        <v>5930</v>
      </c>
      <c r="Y258" s="32">
        <v>9052</v>
      </c>
      <c r="Z258" s="32">
        <v>9308</v>
      </c>
      <c r="AA258" s="32">
        <v>9301</v>
      </c>
      <c r="AB258" s="19"/>
      <c r="AC258" s="20"/>
      <c r="AD258" s="21"/>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31"/>
    </row>
    <row r="259" spans="1:92" s="450" customFormat="1" ht="12.75">
      <c r="A259" s="434">
        <v>122</v>
      </c>
      <c r="B259" s="473" t="s">
        <v>1719</v>
      </c>
      <c r="C259" s="467" t="s">
        <v>1720</v>
      </c>
      <c r="D259" s="675"/>
      <c r="E259" s="695"/>
      <c r="F259" s="240"/>
      <c r="G259" s="238"/>
      <c r="H259" s="238"/>
      <c r="I259" s="235"/>
      <c r="J259" s="235"/>
      <c r="K259" s="239"/>
      <c r="L259" s="239"/>
      <c r="M259" s="248"/>
      <c r="N259" s="31"/>
      <c r="O259" s="526"/>
      <c r="P259" s="240"/>
      <c r="Q259" s="186"/>
      <c r="R259" s="186"/>
      <c r="S259" s="296"/>
      <c r="T259" s="311"/>
      <c r="U259" s="312"/>
      <c r="V259" s="11"/>
      <c r="W259" s="12"/>
      <c r="X259" s="12"/>
      <c r="Y259" s="13"/>
      <c r="Z259" s="13"/>
      <c r="AA259" s="13"/>
      <c r="AB259" s="19"/>
      <c r="AC259" s="20"/>
      <c r="AD259" s="21"/>
      <c r="AE259" s="22"/>
      <c r="AF259" s="22"/>
      <c r="AG259" s="22"/>
      <c r="AH259" s="22"/>
      <c r="AI259" s="206"/>
      <c r="AJ259" s="206"/>
      <c r="AK259" s="206"/>
      <c r="AL259" s="206"/>
      <c r="AM259" s="206"/>
      <c r="AN259" s="206"/>
      <c r="AO259" s="206"/>
      <c r="AP259" s="206"/>
      <c r="AQ259" s="206"/>
      <c r="AR259" s="206"/>
      <c r="AS259" s="206"/>
      <c r="AT259" s="206"/>
      <c r="AU259" s="206"/>
      <c r="AV259" s="206"/>
      <c r="AW259" s="206"/>
      <c r="AX259" s="206"/>
      <c r="AY259" s="206"/>
      <c r="AZ259" s="206"/>
      <c r="BA259" s="206"/>
      <c r="BB259" s="206"/>
      <c r="BC259" s="206"/>
      <c r="BD259" s="206"/>
      <c r="BE259" s="206"/>
      <c r="BF259" s="206"/>
      <c r="BG259" s="31"/>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row>
    <row r="260" spans="1:59" ht="12.75">
      <c r="A260" s="434"/>
      <c r="B260" s="466"/>
      <c r="C260" s="467" t="s">
        <v>1721</v>
      </c>
      <c r="D260" s="669" t="s">
        <v>1722</v>
      </c>
      <c r="E260" s="432" t="s">
        <v>1723</v>
      </c>
      <c r="F260" s="140"/>
      <c r="G260" s="108" t="s">
        <v>1724</v>
      </c>
      <c r="H260" s="109" t="s">
        <v>1725</v>
      </c>
      <c r="I260" s="64" t="str">
        <f>R</f>
        <v>Réelle</v>
      </c>
      <c r="J260" s="64" t="s">
        <v>1726</v>
      </c>
      <c r="K260" s="202" t="s">
        <v>1727</v>
      </c>
      <c r="L260" s="139"/>
      <c r="M260" s="248" t="str">
        <f>"(3)"</f>
        <v>(3)</v>
      </c>
      <c r="N260" s="638"/>
      <c r="O260" s="64" t="str">
        <f>P</f>
        <v>. . .</v>
      </c>
      <c r="P260" s="183" t="str">
        <f>"(3)"</f>
        <v>(3)</v>
      </c>
      <c r="Q260" s="186" t="str">
        <f>"(3)"</f>
        <v>(3)</v>
      </c>
      <c r="R260" s="186" t="str">
        <f>"(3)"</f>
        <v>(3)</v>
      </c>
      <c r="S260" s="296"/>
      <c r="W260" s="73" t="str">
        <f>t</f>
        <v>TVO</v>
      </c>
      <c r="X260" s="73">
        <v>5930</v>
      </c>
      <c r="Y260" s="32"/>
      <c r="Z260" s="32"/>
      <c r="AA260" s="32"/>
      <c r="AB260" s="19"/>
      <c r="AC260" s="19"/>
      <c r="AD260" s="21"/>
      <c r="AE260" s="22"/>
      <c r="AF260" s="22"/>
      <c r="AG260" s="22"/>
      <c r="AH260" s="22"/>
      <c r="AI260" s="206"/>
      <c r="AJ260" s="206"/>
      <c r="AK260" s="206"/>
      <c r="AL260" s="206"/>
      <c r="AM260" s="206"/>
      <c r="AN260" s="206"/>
      <c r="AO260" s="206"/>
      <c r="AP260" s="206"/>
      <c r="AQ260" s="206"/>
      <c r="AR260" s="206"/>
      <c r="AS260" s="206"/>
      <c r="AT260" s="206"/>
      <c r="AU260" s="206"/>
      <c r="AV260" s="206"/>
      <c r="AW260" s="206"/>
      <c r="AX260" s="206"/>
      <c r="AY260" s="206"/>
      <c r="AZ260" s="206"/>
      <c r="BA260" s="206"/>
      <c r="BB260" s="206"/>
      <c r="BC260" s="206"/>
      <c r="BD260" s="206"/>
      <c r="BE260" s="206"/>
      <c r="BF260" s="206"/>
      <c r="BG260" s="31"/>
    </row>
    <row r="261" spans="1:59" ht="12.75">
      <c r="A261" s="434"/>
      <c r="B261" s="466"/>
      <c r="C261" s="467" t="s">
        <v>1728</v>
      </c>
      <c r="D261" s="675"/>
      <c r="E261" s="695"/>
      <c r="F261" s="240"/>
      <c r="G261" s="238"/>
      <c r="H261" s="238"/>
      <c r="I261" s="235"/>
      <c r="J261" s="235"/>
      <c r="K261" s="239"/>
      <c r="L261" s="239"/>
      <c r="M261" s="248"/>
      <c r="N261" s="31"/>
      <c r="O261" s="526"/>
      <c r="P261" s="240"/>
      <c r="Q261" s="186"/>
      <c r="R261" s="186"/>
      <c r="S261" s="165"/>
      <c r="T261" s="311"/>
      <c r="U261" s="312"/>
      <c r="Y261" s="13">
        <v>9306</v>
      </c>
      <c r="Z261" s="13">
        <v>9308</v>
      </c>
      <c r="AA261" s="13">
        <v>9053</v>
      </c>
      <c r="AB261" s="229"/>
      <c r="AC261" s="20"/>
      <c r="AD261" s="21"/>
      <c r="AE261" s="22"/>
      <c r="AF261" s="22"/>
      <c r="AG261" s="22"/>
      <c r="AH261" s="22"/>
      <c r="AI261" s="206"/>
      <c r="AJ261" s="206"/>
      <c r="AK261" s="206"/>
      <c r="AL261" s="206"/>
      <c r="AM261" s="206"/>
      <c r="AN261" s="206"/>
      <c r="AO261" s="206"/>
      <c r="AP261" s="206"/>
      <c r="AQ261" s="206"/>
      <c r="AR261" s="206"/>
      <c r="AS261" s="206"/>
      <c r="AT261" s="206"/>
      <c r="AU261" s="206"/>
      <c r="AV261" s="206"/>
      <c r="AW261" s="206"/>
      <c r="AX261" s="206"/>
      <c r="AY261" s="206"/>
      <c r="AZ261" s="206"/>
      <c r="BA261" s="206"/>
      <c r="BB261" s="206"/>
      <c r="BC261" s="206"/>
      <c r="BD261" s="206"/>
      <c r="BE261" s="206"/>
      <c r="BF261" s="206"/>
      <c r="BG261" s="31"/>
    </row>
    <row r="262" spans="1:59" ht="12.75">
      <c r="A262" s="434"/>
      <c r="B262" s="466"/>
      <c r="C262" s="467" t="s">
        <v>1729</v>
      </c>
      <c r="D262" s="675"/>
      <c r="E262" s="695"/>
      <c r="F262" s="240"/>
      <c r="G262" s="238"/>
      <c r="H262" s="238"/>
      <c r="I262" s="235"/>
      <c r="J262" s="235"/>
      <c r="K262" s="239"/>
      <c r="L262" s="239"/>
      <c r="M262" s="248"/>
      <c r="N262" s="31"/>
      <c r="O262" s="526"/>
      <c r="P262" s="240"/>
      <c r="Q262" s="186"/>
      <c r="R262" s="186"/>
      <c r="S262" s="165"/>
      <c r="T262" s="70"/>
      <c r="U262" s="71"/>
      <c r="V262" s="72"/>
      <c r="W262" s="73"/>
      <c r="X262" s="73"/>
      <c r="Y262" s="13">
        <v>9306</v>
      </c>
      <c r="Z262" s="13">
        <v>9308</v>
      </c>
      <c r="AA262" s="13">
        <v>9301</v>
      </c>
      <c r="AB262" s="19"/>
      <c r="AC262" s="20"/>
      <c r="AD262" s="21"/>
      <c r="AE262" s="22"/>
      <c r="AF262" s="22"/>
      <c r="AG262" s="22"/>
      <c r="AH262" s="22"/>
      <c r="AI262" s="206"/>
      <c r="AJ262" s="206"/>
      <c r="AK262" s="206"/>
      <c r="AL262" s="206"/>
      <c r="AM262" s="206"/>
      <c r="AN262" s="206"/>
      <c r="AO262" s="206"/>
      <c r="AP262" s="206"/>
      <c r="AQ262" s="206"/>
      <c r="AR262" s="206"/>
      <c r="AS262" s="206"/>
      <c r="AT262" s="206"/>
      <c r="AU262" s="206"/>
      <c r="AV262" s="206"/>
      <c r="AW262" s="206"/>
      <c r="AX262" s="206"/>
      <c r="AY262" s="206"/>
      <c r="AZ262" s="206"/>
      <c r="BA262" s="206"/>
      <c r="BB262" s="206"/>
      <c r="BC262" s="206"/>
      <c r="BD262" s="206"/>
      <c r="BE262" s="206"/>
      <c r="BF262" s="206"/>
      <c r="BG262" s="31"/>
    </row>
    <row r="263" spans="1:92" s="429" customFormat="1" ht="13.5" thickBot="1">
      <c r="A263" s="458">
        <v>123</v>
      </c>
      <c r="B263" s="474" t="s">
        <v>1730</v>
      </c>
      <c r="C263" s="475" t="s">
        <v>1731</v>
      </c>
      <c r="D263" s="671" t="str">
        <f>P</f>
        <v>. . .</v>
      </c>
      <c r="E263" s="689">
        <f>TECpropanebutane</f>
        <v>0.007</v>
      </c>
      <c r="F263" s="690"/>
      <c r="G263" s="191" t="str">
        <f>P</f>
        <v>. . .</v>
      </c>
      <c r="H263" s="192" t="s">
        <v>1732</v>
      </c>
      <c r="I263" s="656">
        <f>VFPRO</f>
        <v>34.14</v>
      </c>
      <c r="J263" s="708" t="s">
        <v>1733</v>
      </c>
      <c r="K263" s="342">
        <f>ROUND(I263*TECpropanebutane,2)</f>
        <v>0.24</v>
      </c>
      <c r="L263" s="193"/>
      <c r="M263" s="194">
        <f>TIGPSCE</f>
        <v>4.68</v>
      </c>
      <c r="N263" s="641"/>
      <c r="O263" s="662" t="str">
        <f>P</f>
        <v>. . .</v>
      </c>
      <c r="P263" s="644" t="s">
        <v>1734</v>
      </c>
      <c r="Q263" s="343">
        <f>SUM(I263:P263)*19.6%</f>
        <v>7.655760000000001</v>
      </c>
      <c r="R263" s="343">
        <f>SUM(I263:P263)*13%</f>
        <v>5.077800000000001</v>
      </c>
      <c r="S263" s="296"/>
      <c r="T263" s="311">
        <v>5721</v>
      </c>
      <c r="U263" s="312"/>
      <c r="V263" s="11"/>
      <c r="W263" s="309">
        <v>5961</v>
      </c>
      <c r="X263" s="12">
        <v>9301</v>
      </c>
      <c r="Y263" s="141">
        <v>9308</v>
      </c>
      <c r="Z263" s="141">
        <v>9301</v>
      </c>
      <c r="AA263" s="32"/>
      <c r="AB263" s="19"/>
      <c r="AC263" s="20"/>
      <c r="AD263" s="20"/>
      <c r="AE263" s="21"/>
      <c r="AF263" s="22"/>
      <c r="AG263" s="22"/>
      <c r="AH263" s="22"/>
      <c r="AI263" s="22"/>
      <c r="AJ263" s="476"/>
      <c r="AK263" s="476"/>
      <c r="AL263" s="476"/>
      <c r="AM263" s="476"/>
      <c r="AN263" s="476"/>
      <c r="AO263" s="476"/>
      <c r="AP263" s="476"/>
      <c r="AQ263" s="476"/>
      <c r="AR263" s="476"/>
      <c r="AS263" s="476"/>
      <c r="AT263" s="476"/>
      <c r="AU263" s="476"/>
      <c r="AV263" s="476"/>
      <c r="AW263" s="476"/>
      <c r="AX263" s="476"/>
      <c r="AY263" s="476"/>
      <c r="AZ263" s="476"/>
      <c r="BA263" s="476"/>
      <c r="BB263" s="476"/>
      <c r="BC263" s="476"/>
      <c r="BD263" s="476"/>
      <c r="BE263" s="476"/>
      <c r="BF263" s="476"/>
      <c r="BG263" s="476"/>
      <c r="BH263" s="438"/>
      <c r="BI263" s="428"/>
      <c r="BJ263" s="428"/>
      <c r="BK263" s="428"/>
      <c r="BL263" s="428"/>
      <c r="BM263" s="428"/>
      <c r="BN263" s="428"/>
      <c r="BO263" s="428"/>
      <c r="BP263" s="428"/>
      <c r="BQ263" s="428"/>
      <c r="BR263" s="428"/>
      <c r="BS263" s="428"/>
      <c r="BT263" s="428"/>
      <c r="BU263" s="428"/>
      <c r="BV263" s="428"/>
      <c r="BW263" s="428"/>
      <c r="BX263" s="428"/>
      <c r="BY263" s="428"/>
      <c r="BZ263" s="428"/>
      <c r="CA263" s="428"/>
      <c r="CB263" s="428"/>
      <c r="CC263" s="428"/>
      <c r="CD263" s="428"/>
      <c r="CE263" s="428"/>
      <c r="CF263" s="428"/>
      <c r="CG263" s="428"/>
      <c r="CH263" s="428"/>
      <c r="CI263" s="428"/>
      <c r="CJ263" s="428"/>
      <c r="CK263" s="428"/>
      <c r="CL263" s="428"/>
      <c r="CM263" s="428"/>
      <c r="CN263" s="428"/>
    </row>
    <row r="264" spans="1:59" ht="12.75">
      <c r="A264" s="434">
        <v>124</v>
      </c>
      <c r="B264" s="466" t="s">
        <v>1735</v>
      </c>
      <c r="C264" s="467" t="s">
        <v>1736</v>
      </c>
      <c r="D264" s="669" t="str">
        <f>P</f>
        <v>. . .</v>
      </c>
      <c r="E264" s="432">
        <f>TECpropanebutane</f>
        <v>0.007</v>
      </c>
      <c r="F264" s="140"/>
      <c r="G264" s="108" t="str">
        <f>P</f>
        <v>. . .</v>
      </c>
      <c r="H264" s="109" t="s">
        <v>1737</v>
      </c>
      <c r="I264" s="532">
        <f>VFPRO</f>
        <v>34.14</v>
      </c>
      <c r="J264" s="64" t="s">
        <v>1738</v>
      </c>
      <c r="K264" s="201">
        <f>ROUND(I264*TECpropanebutane,2)</f>
        <v>0.24</v>
      </c>
      <c r="L264" s="139"/>
      <c r="M264" s="248">
        <f>TIGP</f>
        <v>10.76</v>
      </c>
      <c r="N264" s="638"/>
      <c r="O264" s="655" t="str">
        <f>P</f>
        <v>. . .</v>
      </c>
      <c r="P264" s="234" t="str">
        <f>P</f>
        <v>. . .</v>
      </c>
      <c r="Q264" s="186">
        <f>SUM(I264:P264)*19.6%</f>
        <v>8.84744</v>
      </c>
      <c r="R264" s="186">
        <f>SUM(I264:P264)*13%</f>
        <v>5.8682</v>
      </c>
      <c r="S264" s="69"/>
      <c r="T264" s="311">
        <v>5714</v>
      </c>
      <c r="U264" s="312"/>
      <c r="W264" s="309">
        <v>5962</v>
      </c>
      <c r="X264" s="309"/>
      <c r="Y264" s="141"/>
      <c r="Z264" s="141"/>
      <c r="AB264" s="19"/>
      <c r="AC264" s="20"/>
      <c r="AD264" s="21"/>
      <c r="AE264" s="22"/>
      <c r="AF264" s="22"/>
      <c r="AG264" s="22"/>
      <c r="AH264" s="22"/>
      <c r="AI264" s="206"/>
      <c r="AJ264" s="206"/>
      <c r="AK264" s="206"/>
      <c r="AL264" s="206"/>
      <c r="AM264" s="206"/>
      <c r="AN264" s="206"/>
      <c r="AO264" s="206"/>
      <c r="AP264" s="206"/>
      <c r="AQ264" s="206"/>
      <c r="AR264" s="206"/>
      <c r="AS264" s="206"/>
      <c r="AT264" s="206"/>
      <c r="AU264" s="206"/>
      <c r="AV264" s="206"/>
      <c r="AW264" s="206"/>
      <c r="AX264" s="206"/>
      <c r="AY264" s="206"/>
      <c r="AZ264" s="206"/>
      <c r="BA264" s="206"/>
      <c r="BB264" s="206"/>
      <c r="BC264" s="206"/>
      <c r="BD264" s="206"/>
      <c r="BE264" s="206"/>
      <c r="BF264" s="206"/>
      <c r="BG264" s="31"/>
    </row>
    <row r="265" spans="1:59" ht="12.75">
      <c r="A265" s="434">
        <v>125</v>
      </c>
      <c r="B265" s="466" t="s">
        <v>1739</v>
      </c>
      <c r="C265" s="467" t="s">
        <v>1740</v>
      </c>
      <c r="D265" s="669" t="str">
        <f>P</f>
        <v>. . .</v>
      </c>
      <c r="E265" s="432">
        <f>TECpropanebutane</f>
        <v>0.007</v>
      </c>
      <c r="F265" s="140"/>
      <c r="G265" s="108" t="str">
        <f>P</f>
        <v>. . .</v>
      </c>
      <c r="H265" s="109" t="s">
        <v>1741</v>
      </c>
      <c r="I265" s="532">
        <f>VFPRO</f>
        <v>34.14</v>
      </c>
      <c r="J265" s="64" t="s">
        <v>1742</v>
      </c>
      <c r="K265" s="201">
        <f>ROUND(I265*TECpropanebutane,2)</f>
        <v>0.24</v>
      </c>
      <c r="L265" s="139"/>
      <c r="M265" s="248" t="s">
        <v>1743</v>
      </c>
      <c r="N265" s="638"/>
      <c r="O265" s="655" t="str">
        <f>P</f>
        <v>. . .</v>
      </c>
      <c r="P265" s="234" t="s">
        <v>1744</v>
      </c>
      <c r="Q265" s="186">
        <f>SUM(I265:P265)*19.6%</f>
        <v>6.738480000000001</v>
      </c>
      <c r="R265" s="186">
        <f>SUM(I265:P265)*13%</f>
        <v>4.4694</v>
      </c>
      <c r="S265" s="165"/>
      <c r="W265" s="157">
        <v>5963</v>
      </c>
      <c r="X265" s="309"/>
      <c r="Y265" s="141">
        <v>9306</v>
      </c>
      <c r="Z265" s="141">
        <v>9308</v>
      </c>
      <c r="AA265" s="141">
        <v>9053</v>
      </c>
      <c r="AC265" s="20"/>
      <c r="AD265" s="21"/>
      <c r="AE265" s="22"/>
      <c r="AF265" s="22"/>
      <c r="AG265" s="22"/>
      <c r="AH265" s="22"/>
      <c r="AI265" s="206"/>
      <c r="AJ265" s="206"/>
      <c r="AK265" s="206"/>
      <c r="AL265" s="206"/>
      <c r="AM265" s="206"/>
      <c r="AN265" s="206"/>
      <c r="AO265" s="206"/>
      <c r="AP265" s="206"/>
      <c r="AQ265" s="206"/>
      <c r="AR265" s="206"/>
      <c r="AS265" s="206"/>
      <c r="AT265" s="206"/>
      <c r="AU265" s="206"/>
      <c r="AV265" s="206"/>
      <c r="AW265" s="206"/>
      <c r="AX265" s="206"/>
      <c r="AY265" s="206"/>
      <c r="AZ265" s="206"/>
      <c r="BA265" s="206"/>
      <c r="BB265" s="206"/>
      <c r="BC265" s="206"/>
      <c r="BD265" s="206"/>
      <c r="BE265" s="206"/>
      <c r="BF265" s="206"/>
      <c r="BG265" s="31"/>
    </row>
    <row r="266" spans="1:59" ht="12.75">
      <c r="A266" s="434"/>
      <c r="B266" s="466"/>
      <c r="C266" s="467" t="s">
        <v>1745</v>
      </c>
      <c r="D266" s="669" t="s">
        <v>1746</v>
      </c>
      <c r="E266" s="432"/>
      <c r="F266" s="140"/>
      <c r="G266" s="108"/>
      <c r="H266" s="373"/>
      <c r="I266" s="532"/>
      <c r="J266" s="64"/>
      <c r="K266" s="139"/>
      <c r="L266" s="139"/>
      <c r="M266" s="248"/>
      <c r="N266" s="638"/>
      <c r="O266" s="655"/>
      <c r="P266" s="636"/>
      <c r="Q266" s="186"/>
      <c r="R266" s="186"/>
      <c r="S266" s="296"/>
      <c r="T266" s="149"/>
      <c r="U266" s="150"/>
      <c r="V266" s="151"/>
      <c r="W266" s="152"/>
      <c r="X266" s="152"/>
      <c r="Y266" s="18">
        <v>9306</v>
      </c>
      <c r="Z266" s="18">
        <v>9308</v>
      </c>
      <c r="AA266" s="141">
        <v>9301</v>
      </c>
      <c r="AB266" s="19"/>
      <c r="AC266" s="20"/>
      <c r="AD266" s="21"/>
      <c r="AE266" s="22"/>
      <c r="AF266" s="22"/>
      <c r="AG266" s="22"/>
      <c r="AH266" s="22"/>
      <c r="AI266" s="206"/>
      <c r="AJ266" s="206"/>
      <c r="AK266" s="206"/>
      <c r="AL266" s="206"/>
      <c r="AM266" s="206"/>
      <c r="AN266" s="206"/>
      <c r="AO266" s="206"/>
      <c r="AP266" s="206"/>
      <c r="AQ266" s="206"/>
      <c r="AR266" s="206"/>
      <c r="AS266" s="206"/>
      <c r="AT266" s="206"/>
      <c r="AU266" s="206"/>
      <c r="AV266" s="206"/>
      <c r="AW266" s="206"/>
      <c r="AX266" s="206"/>
      <c r="AY266" s="206"/>
      <c r="AZ266" s="206"/>
      <c r="BA266" s="206"/>
      <c r="BB266" s="206"/>
      <c r="BC266" s="206"/>
      <c r="BD266" s="206"/>
      <c r="BE266" s="206"/>
      <c r="BF266" s="206"/>
      <c r="BG266" s="31"/>
    </row>
    <row r="267" spans="1:92" s="440" customFormat="1" ht="13.5" thickBot="1">
      <c r="A267" s="434">
        <v>126</v>
      </c>
      <c r="B267" s="466" t="s">
        <v>1747</v>
      </c>
      <c r="C267" s="467" t="s">
        <v>14</v>
      </c>
      <c r="D267" s="669" t="str">
        <f>P</f>
        <v>. . .</v>
      </c>
      <c r="E267" s="432">
        <f>TECpropanebutane</f>
        <v>0.007</v>
      </c>
      <c r="F267" s="140"/>
      <c r="G267" s="108" t="str">
        <f>P</f>
        <v>. . .</v>
      </c>
      <c r="H267" s="109" t="s">
        <v>15</v>
      </c>
      <c r="I267" s="532">
        <f>VFPRO</f>
        <v>34.14</v>
      </c>
      <c r="J267" s="64" t="s">
        <v>16</v>
      </c>
      <c r="K267" s="201">
        <f>ROUND(I267*TECpropanebutane,2)</f>
        <v>0.24</v>
      </c>
      <c r="L267" s="139"/>
      <c r="M267" s="248">
        <f>TIGPSCE</f>
        <v>4.68</v>
      </c>
      <c r="N267" s="638"/>
      <c r="O267" s="655" t="str">
        <f>P</f>
        <v>. . .</v>
      </c>
      <c r="P267" s="234" t="s">
        <v>17</v>
      </c>
      <c r="Q267" s="186">
        <f>TVAPROSCEmetro</f>
        <v>7.655760000000001</v>
      </c>
      <c r="R267" s="186">
        <f>TVAPROSCEcorse</f>
        <v>5.077800000000001</v>
      </c>
      <c r="S267" s="69"/>
      <c r="T267" s="149">
        <v>5721</v>
      </c>
      <c r="U267" s="150"/>
      <c r="V267" s="11"/>
      <c r="W267" s="157">
        <v>5961</v>
      </c>
      <c r="X267" s="152">
        <v>9301</v>
      </c>
      <c r="Y267" s="141">
        <v>9308</v>
      </c>
      <c r="Z267" s="141">
        <v>9301</v>
      </c>
      <c r="AA267" s="141"/>
      <c r="AB267" s="723"/>
      <c r="AC267" s="501"/>
      <c r="AD267" s="724"/>
      <c r="AE267" s="736"/>
      <c r="AF267" s="736"/>
      <c r="AG267" s="736"/>
      <c r="AH267" s="736"/>
      <c r="AI267" s="736"/>
      <c r="AJ267" s="736"/>
      <c r="AK267" s="736"/>
      <c r="AL267" s="736"/>
      <c r="AM267" s="736"/>
      <c r="AN267" s="736"/>
      <c r="AO267" s="437"/>
      <c r="AP267" s="437"/>
      <c r="AQ267" s="437"/>
      <c r="AR267" s="437"/>
      <c r="AS267" s="437"/>
      <c r="AT267" s="437"/>
      <c r="AU267" s="437"/>
      <c r="AV267" s="437"/>
      <c r="AW267" s="437"/>
      <c r="AX267" s="437"/>
      <c r="AY267" s="437"/>
      <c r="AZ267" s="437"/>
      <c r="BA267" s="437"/>
      <c r="BB267" s="437"/>
      <c r="BC267" s="437"/>
      <c r="BD267" s="437"/>
      <c r="BE267" s="437"/>
      <c r="BF267" s="437"/>
      <c r="BG267" s="438"/>
      <c r="BH267" s="439"/>
      <c r="BI267" s="439"/>
      <c r="BJ267" s="439"/>
      <c r="BK267" s="439"/>
      <c r="BL267" s="439"/>
      <c r="BM267" s="439"/>
      <c r="BN267" s="439"/>
      <c r="BO267" s="439"/>
      <c r="BP267" s="439"/>
      <c r="BQ267" s="439"/>
      <c r="BR267" s="439"/>
      <c r="BS267" s="439"/>
      <c r="BT267" s="439"/>
      <c r="BU267" s="439"/>
      <c r="BV267" s="439"/>
      <c r="BW267" s="439"/>
      <c r="BX267" s="439"/>
      <c r="BY267" s="439"/>
      <c r="BZ267" s="439"/>
      <c r="CA267" s="439"/>
      <c r="CB267" s="439"/>
      <c r="CC267" s="439"/>
      <c r="CD267" s="439"/>
      <c r="CE267" s="439"/>
      <c r="CF267" s="439"/>
      <c r="CG267" s="439"/>
      <c r="CH267" s="439"/>
      <c r="CI267" s="439"/>
      <c r="CJ267" s="439"/>
      <c r="CK267" s="439"/>
      <c r="CL267" s="439"/>
      <c r="CM267" s="439"/>
      <c r="CN267" s="439"/>
    </row>
    <row r="268" spans="1:59" ht="12.75">
      <c r="A268" s="434">
        <v>127</v>
      </c>
      <c r="B268" s="466" t="s">
        <v>18</v>
      </c>
      <c r="C268" s="467" t="s">
        <v>19</v>
      </c>
      <c r="D268" s="669" t="str">
        <f>P</f>
        <v>. . .</v>
      </c>
      <c r="E268" s="432">
        <f>TECpropanebutane</f>
        <v>0.007</v>
      </c>
      <c r="F268" s="140"/>
      <c r="G268" s="108" t="str">
        <f>P</f>
        <v>. . .</v>
      </c>
      <c r="H268" s="109" t="s">
        <v>20</v>
      </c>
      <c r="I268" s="532">
        <f>VFPRO</f>
        <v>34.14</v>
      </c>
      <c r="J268" s="64" t="s">
        <v>21</v>
      </c>
      <c r="K268" s="201">
        <f>ROUND(I268*TECpropanebutane,2)</f>
        <v>0.24</v>
      </c>
      <c r="L268" s="139"/>
      <c r="M268" s="248">
        <f>TIGP</f>
        <v>10.76</v>
      </c>
      <c r="N268" s="638"/>
      <c r="O268" s="655" t="str">
        <f>P</f>
        <v>. . .</v>
      </c>
      <c r="P268" s="234" t="str">
        <f>P</f>
        <v>. . .</v>
      </c>
      <c r="Q268" s="186">
        <f>TVAPROCARBmetro</f>
        <v>8.84744</v>
      </c>
      <c r="R268" s="186">
        <f>TVAPROCARBcorse</f>
        <v>5.8682</v>
      </c>
      <c r="S268" s="296"/>
      <c r="T268" s="50">
        <v>5714</v>
      </c>
      <c r="U268" s="51"/>
      <c r="W268" s="185">
        <v>5962</v>
      </c>
      <c r="X268" s="185"/>
      <c r="Y268" s="141"/>
      <c r="Z268" s="141"/>
      <c r="AA268" s="141"/>
      <c r="AB268" s="19"/>
      <c r="AC268" s="20"/>
      <c r="AD268" s="21"/>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31"/>
    </row>
    <row r="269" spans="1:59" ht="12.75">
      <c r="A269" s="434">
        <v>128</v>
      </c>
      <c r="B269" s="466" t="s">
        <v>22</v>
      </c>
      <c r="C269" s="467" t="s">
        <v>23</v>
      </c>
      <c r="D269" s="669" t="str">
        <f>P</f>
        <v>. . .</v>
      </c>
      <c r="E269" s="432">
        <f>TECpropanebutane</f>
        <v>0.007</v>
      </c>
      <c r="F269" s="140"/>
      <c r="G269" s="108" t="str">
        <f>P</f>
        <v>. . .</v>
      </c>
      <c r="H269" s="109" t="s">
        <v>24</v>
      </c>
      <c r="I269" s="532">
        <f>VFPRO</f>
        <v>34.14</v>
      </c>
      <c r="J269" s="64" t="s">
        <v>25</v>
      </c>
      <c r="K269" s="201">
        <f>ROUND(I269*TECpropanebutane,2)</f>
        <v>0.24</v>
      </c>
      <c r="L269" s="139"/>
      <c r="M269" s="248" t="s">
        <v>26</v>
      </c>
      <c r="N269" s="184"/>
      <c r="O269" s="532" t="str">
        <f>P</f>
        <v>. . .</v>
      </c>
      <c r="P269" s="234" t="s">
        <v>27</v>
      </c>
      <c r="Q269" s="186">
        <f>TVAPROAUTREmetro</f>
        <v>6.738480000000001</v>
      </c>
      <c r="R269" s="186">
        <f>TVAPROAUTREcorse</f>
        <v>4.4694</v>
      </c>
      <c r="S269" s="296"/>
      <c r="T269" s="444"/>
      <c r="U269" s="445"/>
      <c r="V269" s="446"/>
      <c r="W269" s="157">
        <v>5963</v>
      </c>
      <c r="X269" s="157"/>
      <c r="Y269" s="141">
        <v>9052</v>
      </c>
      <c r="Z269" s="141">
        <v>9308</v>
      </c>
      <c r="AA269" s="18">
        <v>9301</v>
      </c>
      <c r="AB269" s="19"/>
      <c r="AC269" s="20"/>
      <c r="AD269" s="21"/>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31"/>
    </row>
    <row r="270" spans="1:59" ht="12.75">
      <c r="A270" s="434"/>
      <c r="B270" s="466"/>
      <c r="C270" s="471" t="s">
        <v>28</v>
      </c>
      <c r="D270" s="669" t="s">
        <v>29</v>
      </c>
      <c r="E270" s="432"/>
      <c r="F270" s="140"/>
      <c r="G270" s="108"/>
      <c r="H270" s="373"/>
      <c r="I270" s="64"/>
      <c r="J270" s="64"/>
      <c r="K270" s="139"/>
      <c r="L270" s="139"/>
      <c r="M270" s="248"/>
      <c r="N270" s="638"/>
      <c r="O270" s="655"/>
      <c r="P270" s="636"/>
      <c r="Q270" s="186"/>
      <c r="R270" s="186"/>
      <c r="S270" s="156"/>
      <c r="T270" s="149"/>
      <c r="U270" s="150"/>
      <c r="V270" s="151"/>
      <c r="W270" s="152"/>
      <c r="X270" s="152"/>
      <c r="Y270" s="18"/>
      <c r="Z270" s="18"/>
      <c r="AA270" s="141"/>
      <c r="AB270" s="19"/>
      <c r="AC270" s="20"/>
      <c r="AD270" s="21"/>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31"/>
    </row>
    <row r="271" spans="1:59" ht="12.75">
      <c r="A271" s="434">
        <v>129</v>
      </c>
      <c r="B271" s="466" t="s">
        <v>30</v>
      </c>
      <c r="C271" s="471" t="s">
        <v>31</v>
      </c>
      <c r="D271" s="669" t="s">
        <v>32</v>
      </c>
      <c r="E271" s="432" t="s">
        <v>33</v>
      </c>
      <c r="F271" s="140"/>
      <c r="G271" s="108" t="s">
        <v>34</v>
      </c>
      <c r="H271" s="109" t="s">
        <v>35</v>
      </c>
      <c r="I271" s="64" t="str">
        <f>R</f>
        <v>Réelle</v>
      </c>
      <c r="J271" s="64" t="s">
        <v>36</v>
      </c>
      <c r="K271" s="202" t="s">
        <v>37</v>
      </c>
      <c r="L271" s="139"/>
      <c r="M271" s="248" t="str">
        <f>"(3)"</f>
        <v>(3)</v>
      </c>
      <c r="N271" s="638"/>
      <c r="O271" s="64" t="str">
        <f>P</f>
        <v>. . .</v>
      </c>
      <c r="P271" s="183" t="str">
        <f>"(3)"</f>
        <v>(3)</v>
      </c>
      <c r="Q271" s="186" t="str">
        <f>"(3)"</f>
        <v>(3)</v>
      </c>
      <c r="R271" s="186" t="str">
        <f>"(3)"</f>
        <v>(3)</v>
      </c>
      <c r="S271" s="156"/>
      <c r="W271" s="152" t="str">
        <f>t</f>
        <v>TVO</v>
      </c>
      <c r="X271" s="152">
        <v>5930</v>
      </c>
      <c r="Y271" s="141">
        <v>9052</v>
      </c>
      <c r="Z271" s="141">
        <v>9308</v>
      </c>
      <c r="AA271" s="141">
        <v>9301</v>
      </c>
      <c r="AB271" s="204"/>
      <c r="AC271" s="20"/>
      <c r="AD271" s="21"/>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31"/>
    </row>
    <row r="272" spans="1:59" ht="12.75">
      <c r="A272" s="434">
        <v>130</v>
      </c>
      <c r="B272" s="466" t="s">
        <v>38</v>
      </c>
      <c r="C272" s="471" t="s">
        <v>39</v>
      </c>
      <c r="D272" s="669"/>
      <c r="E272" s="432"/>
      <c r="F272" s="140"/>
      <c r="G272" s="108"/>
      <c r="H272" s="373"/>
      <c r="I272" s="64"/>
      <c r="J272" s="64"/>
      <c r="K272" s="139"/>
      <c r="L272" s="139"/>
      <c r="M272" s="248"/>
      <c r="N272" s="638"/>
      <c r="O272" s="655"/>
      <c r="P272" s="636"/>
      <c r="Q272" s="186"/>
      <c r="R272" s="186"/>
      <c r="S272" s="156"/>
      <c r="T272" s="50"/>
      <c r="U272" s="51"/>
      <c r="V272" s="52"/>
      <c r="W272" s="53"/>
      <c r="X272" s="53"/>
      <c r="Y272" s="32"/>
      <c r="Z272" s="32"/>
      <c r="AA272" s="141"/>
      <c r="AB272" s="19"/>
      <c r="AC272" s="20"/>
      <c r="AD272" s="21"/>
      <c r="AE272" s="22"/>
      <c r="AF272" s="22"/>
      <c r="AG272" s="22"/>
      <c r="AH272" s="22"/>
      <c r="AI272" s="206"/>
      <c r="AJ272" s="206"/>
      <c r="AK272" s="206"/>
      <c r="AL272" s="206"/>
      <c r="AM272" s="206"/>
      <c r="AN272" s="206"/>
      <c r="AO272" s="206"/>
      <c r="AP272" s="206"/>
      <c r="AQ272" s="206"/>
      <c r="AR272" s="206"/>
      <c r="AS272" s="206"/>
      <c r="AT272" s="206"/>
      <c r="AU272" s="206"/>
      <c r="AV272" s="206"/>
      <c r="AW272" s="206"/>
      <c r="AX272" s="206"/>
      <c r="AY272" s="206"/>
      <c r="AZ272" s="206"/>
      <c r="BA272" s="206"/>
      <c r="BB272" s="206"/>
      <c r="BC272" s="206"/>
      <c r="BD272" s="206"/>
      <c r="BE272" s="206"/>
      <c r="BF272" s="206"/>
      <c r="BG272" s="31"/>
    </row>
    <row r="273" spans="1:59" ht="12.75">
      <c r="A273" s="434"/>
      <c r="B273" s="466"/>
      <c r="C273" s="471" t="s">
        <v>40</v>
      </c>
      <c r="D273" s="669" t="s">
        <v>41</v>
      </c>
      <c r="E273" s="432" t="s">
        <v>42</v>
      </c>
      <c r="F273" s="140"/>
      <c r="G273" s="108" t="s">
        <v>43</v>
      </c>
      <c r="H273" s="109" t="s">
        <v>44</v>
      </c>
      <c r="I273" s="64" t="str">
        <f>R</f>
        <v>Réelle</v>
      </c>
      <c r="J273" s="64" t="s">
        <v>45</v>
      </c>
      <c r="K273" s="202" t="s">
        <v>46</v>
      </c>
      <c r="L273" s="139"/>
      <c r="M273" s="248" t="str">
        <f>"(3)"</f>
        <v>(3)</v>
      </c>
      <c r="N273" s="638"/>
      <c r="O273" s="64" t="str">
        <f>P</f>
        <v>. . .</v>
      </c>
      <c r="P273" s="183" t="str">
        <f>"(3)"</f>
        <v>(3)</v>
      </c>
      <c r="Q273" s="186" t="str">
        <f>"(3)"</f>
        <v>(3)</v>
      </c>
      <c r="R273" s="186" t="str">
        <f>"(3)"</f>
        <v>(3)</v>
      </c>
      <c r="S273" s="49"/>
      <c r="W273" s="152" t="str">
        <f>t</f>
        <v>TVO</v>
      </c>
      <c r="X273" s="152">
        <v>5930</v>
      </c>
      <c r="Y273" s="32"/>
      <c r="Z273" s="32"/>
      <c r="AA273" s="18"/>
      <c r="AB273" s="19"/>
      <c r="AC273" s="20"/>
      <c r="AD273" s="21"/>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31"/>
    </row>
    <row r="274" spans="1:59" ht="12.75">
      <c r="A274" s="434"/>
      <c r="B274" s="466"/>
      <c r="C274" s="471" t="s">
        <v>47</v>
      </c>
      <c r="D274" s="669"/>
      <c r="E274" s="432"/>
      <c r="F274" s="140"/>
      <c r="G274" s="108"/>
      <c r="H274" s="373"/>
      <c r="I274" s="64"/>
      <c r="J274" s="64"/>
      <c r="K274" s="139"/>
      <c r="L274" s="139"/>
      <c r="M274" s="248"/>
      <c r="N274" s="638"/>
      <c r="O274" s="655"/>
      <c r="P274" s="636"/>
      <c r="Q274" s="186"/>
      <c r="R274" s="186"/>
      <c r="S274" s="156"/>
      <c r="T274" s="70"/>
      <c r="U274" s="71"/>
      <c r="V274" s="72"/>
      <c r="W274" s="73"/>
      <c r="X274" s="73"/>
      <c r="Y274" s="32">
        <v>9053</v>
      </c>
      <c r="Z274" s="32">
        <v>9306</v>
      </c>
      <c r="AA274" s="32">
        <v>9308</v>
      </c>
      <c r="AB274" s="19"/>
      <c r="AC274" s="20"/>
      <c r="AD274" s="21"/>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31"/>
    </row>
    <row r="275" spans="1:59" ht="12.75">
      <c r="A275" s="434"/>
      <c r="B275" s="466"/>
      <c r="C275" s="467" t="s">
        <v>48</v>
      </c>
      <c r="D275" s="675"/>
      <c r="E275" s="695"/>
      <c r="F275" s="240"/>
      <c r="G275" s="238"/>
      <c r="H275" s="238"/>
      <c r="I275" s="235"/>
      <c r="J275" s="235"/>
      <c r="K275" s="239"/>
      <c r="L275" s="239"/>
      <c r="M275" s="248"/>
      <c r="N275" s="31"/>
      <c r="O275" s="526"/>
      <c r="P275" s="240"/>
      <c r="Q275" s="186"/>
      <c r="R275" s="186"/>
      <c r="S275" s="156"/>
      <c r="T275" s="70"/>
      <c r="U275" s="71"/>
      <c r="V275" s="72"/>
      <c r="W275" s="73"/>
      <c r="X275" s="73"/>
      <c r="Y275" s="13">
        <v>9306</v>
      </c>
      <c r="Z275" s="13">
        <v>9308</v>
      </c>
      <c r="AA275" s="32">
        <v>9301</v>
      </c>
      <c r="AB275" s="19"/>
      <c r="AC275" s="20"/>
      <c r="AD275" s="21"/>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31"/>
    </row>
    <row r="276" spans="1:59" ht="12.75">
      <c r="A276" s="434">
        <v>131</v>
      </c>
      <c r="B276" s="466" t="s">
        <v>49</v>
      </c>
      <c r="C276" s="467" t="s">
        <v>50</v>
      </c>
      <c r="D276" s="669" t="str">
        <f>P</f>
        <v>. . .</v>
      </c>
      <c r="E276" s="432">
        <f>TECpropanebutane</f>
        <v>0.007</v>
      </c>
      <c r="F276" s="140"/>
      <c r="G276" s="108" t="str">
        <f>P</f>
        <v>. . .</v>
      </c>
      <c r="H276" s="109" t="s">
        <v>51</v>
      </c>
      <c r="I276" s="532">
        <f>VFBUT</f>
        <v>38.85</v>
      </c>
      <c r="J276" s="64" t="s">
        <v>52</v>
      </c>
      <c r="K276" s="201">
        <f>ROUND(I276*TECpropanebutane,2)</f>
        <v>0.27</v>
      </c>
      <c r="L276" s="139"/>
      <c r="M276" s="248">
        <f>TIGPSCE</f>
        <v>4.68</v>
      </c>
      <c r="N276" s="638"/>
      <c r="O276" s="655" t="str">
        <f>P</f>
        <v>. . .</v>
      </c>
      <c r="P276" s="234" t="s">
        <v>53</v>
      </c>
      <c r="Q276" s="186">
        <f>SUM(I276:P276)*19.6%</f>
        <v>8.584800000000001</v>
      </c>
      <c r="R276" s="186">
        <f>SUM(I276:P276)*13%</f>
        <v>5.694000000000001</v>
      </c>
      <c r="S276" s="156"/>
      <c r="T276" s="70">
        <v>5721</v>
      </c>
      <c r="U276" s="71"/>
      <c r="W276" s="226">
        <v>5927</v>
      </c>
      <c r="X276" s="73">
        <v>9301</v>
      </c>
      <c r="Y276" s="141">
        <v>9308</v>
      </c>
      <c r="Z276" s="141">
        <v>9301</v>
      </c>
      <c r="AA276" s="32"/>
      <c r="AB276" s="204"/>
      <c r="AC276" s="20"/>
      <c r="AD276" s="21"/>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31"/>
    </row>
    <row r="277" spans="1:59" ht="12.75">
      <c r="A277" s="434">
        <v>132</v>
      </c>
      <c r="B277" s="466" t="s">
        <v>54</v>
      </c>
      <c r="C277" s="467" t="s">
        <v>55</v>
      </c>
      <c r="D277" s="669" t="str">
        <f>P</f>
        <v>. . .</v>
      </c>
      <c r="E277" s="432">
        <f>TECpropanebutane</f>
        <v>0.007</v>
      </c>
      <c r="F277" s="140"/>
      <c r="G277" s="108" t="str">
        <f>P</f>
        <v>. . .</v>
      </c>
      <c r="H277" s="109" t="s">
        <v>56</v>
      </c>
      <c r="I277" s="532">
        <f>VFBUT</f>
        <v>38.85</v>
      </c>
      <c r="J277" s="64" t="s">
        <v>57</v>
      </c>
      <c r="K277" s="201">
        <f>ROUND(I277*TECpropanebutane,2)</f>
        <v>0.27</v>
      </c>
      <c r="L277" s="139"/>
      <c r="M277" s="248">
        <f>TIGP</f>
        <v>10.76</v>
      </c>
      <c r="N277" s="638"/>
      <c r="O277" s="655" t="str">
        <f>P</f>
        <v>. . .</v>
      </c>
      <c r="P277" s="234" t="str">
        <f>P</f>
        <v>. . .</v>
      </c>
      <c r="Q277" s="186">
        <f>SUM(I277:P277)*19.6%</f>
        <v>9.776480000000001</v>
      </c>
      <c r="R277" s="186">
        <f>SUM(I277:P277)*13%</f>
        <v>6.484400000000001</v>
      </c>
      <c r="S277" s="49"/>
      <c r="T277" s="311">
        <v>5714</v>
      </c>
      <c r="U277" s="312"/>
      <c r="W277" s="309">
        <v>5914</v>
      </c>
      <c r="X277" s="226"/>
      <c r="Y277" s="141"/>
      <c r="Z277" s="141"/>
      <c r="AA277" s="32"/>
      <c r="AB277" s="19"/>
      <c r="AC277" s="20"/>
      <c r="AD277" s="21"/>
      <c r="AE277" s="22"/>
      <c r="AF277" s="22"/>
      <c r="AG277" s="22"/>
      <c r="AH277" s="22"/>
      <c r="AI277" s="206"/>
      <c r="AJ277" s="206"/>
      <c r="AK277" s="206"/>
      <c r="AL277" s="206"/>
      <c r="AM277" s="206"/>
      <c r="AN277" s="206"/>
      <c r="AO277" s="206"/>
      <c r="AP277" s="206"/>
      <c r="AQ277" s="206"/>
      <c r="AR277" s="206"/>
      <c r="AS277" s="206"/>
      <c r="AT277" s="206"/>
      <c r="AU277" s="206"/>
      <c r="AV277" s="206"/>
      <c r="AW277" s="206"/>
      <c r="AX277" s="206"/>
      <c r="AY277" s="206"/>
      <c r="AZ277" s="206"/>
      <c r="BA277" s="206"/>
      <c r="BB277" s="206"/>
      <c r="BC277" s="206"/>
      <c r="BD277" s="206"/>
      <c r="BE277" s="206"/>
      <c r="BF277" s="206"/>
      <c r="BG277" s="31"/>
    </row>
    <row r="278" spans="1:59" ht="12.75">
      <c r="A278" s="434">
        <v>133</v>
      </c>
      <c r="B278" s="466" t="s">
        <v>58</v>
      </c>
      <c r="C278" s="467" t="s">
        <v>59</v>
      </c>
      <c r="D278" s="669" t="str">
        <f>P</f>
        <v>. . .</v>
      </c>
      <c r="E278" s="432">
        <f>TECpropanebutane</f>
        <v>0.007</v>
      </c>
      <c r="F278" s="140"/>
      <c r="G278" s="108" t="str">
        <f>P</f>
        <v>. . .</v>
      </c>
      <c r="H278" s="109" t="s">
        <v>60</v>
      </c>
      <c r="I278" s="532">
        <f>VFBUT</f>
        <v>38.85</v>
      </c>
      <c r="J278" s="64" t="s">
        <v>61</v>
      </c>
      <c r="K278" s="201">
        <f>ROUND(I278*TECpropanebutane,2)</f>
        <v>0.27</v>
      </c>
      <c r="L278" s="139"/>
      <c r="M278" s="248" t="s">
        <v>62</v>
      </c>
      <c r="N278" s="638"/>
      <c r="O278" s="655" t="str">
        <f>P</f>
        <v>. . .</v>
      </c>
      <c r="P278" s="234" t="s">
        <v>63</v>
      </c>
      <c r="Q278" s="186">
        <f>SUM(I278:P278)*19.6%</f>
        <v>7.6675200000000014</v>
      </c>
      <c r="R278" s="186">
        <f>SUM(I278:P278)*13%</f>
        <v>5.0856</v>
      </c>
      <c r="S278" s="69"/>
      <c r="W278" s="157">
        <v>5913</v>
      </c>
      <c r="X278" s="226"/>
      <c r="Y278" s="141">
        <v>9053</v>
      </c>
      <c r="Z278" s="141">
        <v>9306</v>
      </c>
      <c r="AA278" s="141">
        <v>9308</v>
      </c>
      <c r="AB278" s="19"/>
      <c r="AC278" s="20"/>
      <c r="AD278" s="21"/>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31"/>
    </row>
    <row r="279" spans="1:59" ht="12.75">
      <c r="A279" s="434"/>
      <c r="B279" s="466"/>
      <c r="C279" s="467" t="s">
        <v>64</v>
      </c>
      <c r="D279" s="669"/>
      <c r="E279" s="432"/>
      <c r="F279" s="140"/>
      <c r="G279" s="372"/>
      <c r="H279" s="373"/>
      <c r="I279" s="64"/>
      <c r="J279" s="64"/>
      <c r="K279" s="139"/>
      <c r="L279" s="139"/>
      <c r="M279" s="248"/>
      <c r="N279" s="638"/>
      <c r="O279" s="655"/>
      <c r="P279" s="148"/>
      <c r="Q279" s="186"/>
      <c r="R279" s="186"/>
      <c r="S279" s="69"/>
      <c r="T279" s="149"/>
      <c r="U279" s="150"/>
      <c r="V279" s="151"/>
      <c r="W279" s="152"/>
      <c r="X279" s="152"/>
      <c r="Y279" s="18">
        <v>9306</v>
      </c>
      <c r="Z279" s="18">
        <v>9308</v>
      </c>
      <c r="AA279" s="141">
        <v>9301</v>
      </c>
      <c r="AB279" s="19"/>
      <c r="AC279" s="20"/>
      <c r="AD279" s="21"/>
      <c r="AE279" s="22"/>
      <c r="AF279" s="22"/>
      <c r="AG279" s="22"/>
      <c r="AH279" s="206"/>
      <c r="AI279" s="206"/>
      <c r="AJ279" s="206"/>
      <c r="AK279" s="206"/>
      <c r="AL279" s="206"/>
      <c r="AM279" s="206"/>
      <c r="AN279" s="206"/>
      <c r="AO279" s="206"/>
      <c r="AP279" s="206"/>
      <c r="AQ279" s="206"/>
      <c r="AR279" s="206"/>
      <c r="AS279" s="206"/>
      <c r="AT279" s="206"/>
      <c r="AU279" s="206"/>
      <c r="AV279" s="206"/>
      <c r="AW279" s="206"/>
      <c r="AX279" s="206"/>
      <c r="AY279" s="206"/>
      <c r="AZ279" s="206"/>
      <c r="BA279" s="206"/>
      <c r="BB279" s="206"/>
      <c r="BC279" s="206"/>
      <c r="BD279" s="206"/>
      <c r="BE279" s="206"/>
      <c r="BF279" s="206"/>
      <c r="BG279" s="31"/>
    </row>
    <row r="280" spans="1:59" ht="12.75">
      <c r="A280" s="434">
        <v>134</v>
      </c>
      <c r="B280" s="466" t="s">
        <v>65</v>
      </c>
      <c r="C280" s="467" t="s">
        <v>66</v>
      </c>
      <c r="D280" s="669" t="str">
        <f>P</f>
        <v>. . .</v>
      </c>
      <c r="E280" s="432">
        <f>TECpropanebutane</f>
        <v>0.007</v>
      </c>
      <c r="F280" s="140"/>
      <c r="G280" s="108" t="str">
        <f>P</f>
        <v>. . .</v>
      </c>
      <c r="H280" s="109" t="s">
        <v>67</v>
      </c>
      <c r="I280" s="532">
        <f>VFBUT</f>
        <v>38.85</v>
      </c>
      <c r="J280" s="64" t="s">
        <v>68</v>
      </c>
      <c r="K280" s="201">
        <f>ROUND(I280*TECpropanebutane,2)</f>
        <v>0.27</v>
      </c>
      <c r="L280" s="139"/>
      <c r="M280" s="248">
        <f>TIGPSCE</f>
        <v>4.68</v>
      </c>
      <c r="N280" s="638"/>
      <c r="O280" s="655" t="str">
        <f>P</f>
        <v>. . .</v>
      </c>
      <c r="P280" s="234" t="s">
        <v>69</v>
      </c>
      <c r="Q280" s="186">
        <f>TVABUTSCEmetro</f>
        <v>8.584800000000001</v>
      </c>
      <c r="R280" s="186">
        <f>TVABUTSCEcorse</f>
        <v>5.694000000000001</v>
      </c>
      <c r="S280" s="69"/>
      <c r="T280" s="149">
        <v>5721</v>
      </c>
      <c r="U280" s="150"/>
      <c r="W280" s="157">
        <v>5927</v>
      </c>
      <c r="X280" s="152">
        <v>9301</v>
      </c>
      <c r="Y280" s="141">
        <v>9308</v>
      </c>
      <c r="Z280" s="141">
        <v>9301</v>
      </c>
      <c r="AA280" s="141"/>
      <c r="AB280" s="204"/>
      <c r="AC280" s="20"/>
      <c r="AD280" s="21"/>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31"/>
    </row>
    <row r="281" spans="1:59" ht="12.75">
      <c r="A281" s="434">
        <v>135</v>
      </c>
      <c r="B281" s="466" t="s">
        <v>70</v>
      </c>
      <c r="C281" s="467" t="s">
        <v>71</v>
      </c>
      <c r="D281" s="669" t="str">
        <f>P</f>
        <v>. . .</v>
      </c>
      <c r="E281" s="432">
        <f>TECpropanebutane</f>
        <v>0.007</v>
      </c>
      <c r="F281" s="140"/>
      <c r="G281" s="108" t="str">
        <f>P</f>
        <v>. . .</v>
      </c>
      <c r="H281" s="109" t="s">
        <v>72</v>
      </c>
      <c r="I281" s="532">
        <f>VFBUT</f>
        <v>38.85</v>
      </c>
      <c r="J281" s="64" t="s">
        <v>73</v>
      </c>
      <c r="K281" s="201">
        <f>ROUND(I281*TECpropanebutane,2)</f>
        <v>0.27</v>
      </c>
      <c r="L281" s="139"/>
      <c r="M281" s="248">
        <f>TIGP</f>
        <v>10.76</v>
      </c>
      <c r="N281" s="638"/>
      <c r="O281" s="655" t="str">
        <f>P</f>
        <v>. . .</v>
      </c>
      <c r="P281" s="234" t="str">
        <f>P</f>
        <v>. . .</v>
      </c>
      <c r="Q281" s="186">
        <f>TVABUTCARBmetro</f>
        <v>9.776480000000001</v>
      </c>
      <c r="R281" s="186">
        <f>TVABUTCARBcorse</f>
        <v>6.484400000000001</v>
      </c>
      <c r="S281" s="69"/>
      <c r="T281" s="50">
        <v>5714</v>
      </c>
      <c r="U281" s="51"/>
      <c r="W281" s="185">
        <v>5914</v>
      </c>
      <c r="X281" s="185"/>
      <c r="Y281" s="141">
        <v>9348</v>
      </c>
      <c r="Z281" s="141">
        <v>9301</v>
      </c>
      <c r="AA281" s="141"/>
      <c r="AB281" s="19"/>
      <c r="AC281" s="20"/>
      <c r="AD281" s="21"/>
      <c r="AE281" s="22"/>
      <c r="AF281" s="22"/>
      <c r="AG281" s="22"/>
      <c r="AH281" s="22"/>
      <c r="AI281" s="206"/>
      <c r="AJ281" s="206"/>
      <c r="AK281" s="206"/>
      <c r="AL281" s="206"/>
      <c r="AM281" s="206"/>
      <c r="AN281" s="206"/>
      <c r="AO281" s="206"/>
      <c r="AP281" s="206"/>
      <c r="AQ281" s="206"/>
      <c r="AR281" s="206"/>
      <c r="AS281" s="206"/>
      <c r="AT281" s="206"/>
      <c r="AU281" s="206"/>
      <c r="AV281" s="206"/>
      <c r="AW281" s="206"/>
      <c r="AX281" s="206"/>
      <c r="AY281" s="206"/>
      <c r="AZ281" s="206"/>
      <c r="BA281" s="206"/>
      <c r="BB281" s="206"/>
      <c r="BC281" s="206"/>
      <c r="BD281" s="206"/>
      <c r="BE281" s="206"/>
      <c r="BF281" s="206"/>
      <c r="BG281" s="31"/>
    </row>
    <row r="282" spans="1:92" s="450" customFormat="1" ht="12.75">
      <c r="A282" s="434">
        <v>136</v>
      </c>
      <c r="B282" s="466" t="s">
        <v>74</v>
      </c>
      <c r="C282" s="467" t="s">
        <v>75</v>
      </c>
      <c r="D282" s="669" t="str">
        <f>P</f>
        <v>. . .</v>
      </c>
      <c r="E282" s="432">
        <f>TECpropanebutane</f>
        <v>0.007</v>
      </c>
      <c r="F282" s="140"/>
      <c r="G282" s="108" t="str">
        <f>P</f>
        <v>. . .</v>
      </c>
      <c r="H282" s="109" t="str">
        <f>P</f>
        <v>. . .</v>
      </c>
      <c r="I282" s="532">
        <f>VFBUT</f>
        <v>38.85</v>
      </c>
      <c r="J282" s="64" t="s">
        <v>76</v>
      </c>
      <c r="K282" s="201">
        <f>ROUND(I282*TECpropanebutane,2)</f>
        <v>0.27</v>
      </c>
      <c r="L282" s="139"/>
      <c r="M282" s="248" t="s">
        <v>77</v>
      </c>
      <c r="N282" s="638"/>
      <c r="O282" s="655" t="str">
        <f>P</f>
        <v>. . .</v>
      </c>
      <c r="P282" s="234" t="str">
        <f>P</f>
        <v>. . .</v>
      </c>
      <c r="Q282" s="186">
        <f>TVABUTAUTREmetro</f>
        <v>7.6675200000000014</v>
      </c>
      <c r="R282" s="186">
        <f>TVABUTAUTREcorse</f>
        <v>5.0856</v>
      </c>
      <c r="S282" s="296"/>
      <c r="T282" s="9"/>
      <c r="U282" s="10"/>
      <c r="V282" s="11"/>
      <c r="W282" s="157">
        <v>5913</v>
      </c>
      <c r="X282" s="157"/>
      <c r="Y282" s="141"/>
      <c r="Z282" s="141"/>
      <c r="AA282" s="18"/>
      <c r="AB282" s="19"/>
      <c r="AC282" s="20"/>
      <c r="AD282" s="233"/>
      <c r="AE282" s="206"/>
      <c r="AF282" s="206"/>
      <c r="AG282" s="206"/>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31"/>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row>
    <row r="283" spans="1:59" ht="12.75">
      <c r="A283" s="434">
        <v>137</v>
      </c>
      <c r="B283" s="466" t="s">
        <v>78</v>
      </c>
      <c r="C283" s="471" t="s">
        <v>79</v>
      </c>
      <c r="D283" s="669" t="str">
        <f>P</f>
        <v>. . .</v>
      </c>
      <c r="E283" s="432" t="s">
        <v>80</v>
      </c>
      <c r="F283" s="140"/>
      <c r="G283" s="108" t="str">
        <f>P</f>
        <v>. . .</v>
      </c>
      <c r="H283" s="109" t="str">
        <f>P</f>
        <v>. . .</v>
      </c>
      <c r="I283" s="64" t="str">
        <f>R</f>
        <v>Réelle</v>
      </c>
      <c r="J283" s="64" t="str">
        <f>P</f>
        <v>. . .</v>
      </c>
      <c r="K283" s="202" t="s">
        <v>81</v>
      </c>
      <c r="L283" s="139"/>
      <c r="M283" s="248" t="s">
        <v>82</v>
      </c>
      <c r="N283" s="638"/>
      <c r="O283" s="655" t="str">
        <f>P</f>
        <v>. . .</v>
      </c>
      <c r="P283" s="234" t="str">
        <f>P</f>
        <v>. . .</v>
      </c>
      <c r="Q283" s="186" t="str">
        <f>VI</f>
        <v>(25)</v>
      </c>
      <c r="R283" s="186" t="str">
        <f>VI</f>
        <v>(25)</v>
      </c>
      <c r="S283" s="156"/>
      <c r="W283" s="152" t="str">
        <f>t</f>
        <v>TVO</v>
      </c>
      <c r="X283" s="152">
        <v>5930</v>
      </c>
      <c r="Y283" s="141">
        <v>9053</v>
      </c>
      <c r="Z283" s="141">
        <v>9306</v>
      </c>
      <c r="AA283" s="141">
        <v>9308</v>
      </c>
      <c r="AB283" s="19"/>
      <c r="AC283" s="20"/>
      <c r="AD283" s="233"/>
      <c r="AE283" s="206"/>
      <c r="AF283" s="206"/>
      <c r="AG283" s="206"/>
      <c r="AH283" s="206"/>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31"/>
    </row>
    <row r="284" spans="1:59" ht="12.75">
      <c r="A284" s="434"/>
      <c r="B284" s="466"/>
      <c r="C284" s="471" t="s">
        <v>83</v>
      </c>
      <c r="D284" s="669"/>
      <c r="E284" s="432"/>
      <c r="F284" s="140"/>
      <c r="G284" s="108"/>
      <c r="H284" s="109"/>
      <c r="I284" s="532"/>
      <c r="J284" s="64"/>
      <c r="K284" s="139"/>
      <c r="L284" s="139"/>
      <c r="M284" s="248"/>
      <c r="N284" s="638"/>
      <c r="O284" s="655"/>
      <c r="P284" s="234"/>
      <c r="Q284" s="186"/>
      <c r="R284" s="186"/>
      <c r="S284" s="156"/>
      <c r="T284" s="149"/>
      <c r="U284" s="150"/>
      <c r="V284" s="151"/>
      <c r="W284" s="152"/>
      <c r="X284" s="152"/>
      <c r="Y284" s="18">
        <v>9306</v>
      </c>
      <c r="Z284" s="18">
        <v>9308</v>
      </c>
      <c r="AA284" s="18">
        <v>9301</v>
      </c>
      <c r="AB284" s="19"/>
      <c r="AC284" s="20"/>
      <c r="AD284" s="21"/>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31"/>
    </row>
    <row r="285" spans="1:59" ht="12.75">
      <c r="A285" s="434">
        <v>138</v>
      </c>
      <c r="B285" s="466" t="s">
        <v>84</v>
      </c>
      <c r="C285" s="471" t="s">
        <v>85</v>
      </c>
      <c r="D285" s="669" t="str">
        <f>P</f>
        <v>. . .</v>
      </c>
      <c r="E285" s="432" t="s">
        <v>86</v>
      </c>
      <c r="F285" s="140"/>
      <c r="G285" s="108" t="str">
        <f>P</f>
        <v>. . .</v>
      </c>
      <c r="H285" s="109" t="str">
        <f>P</f>
        <v>. . .</v>
      </c>
      <c r="I285" s="532">
        <f>VFBUT</f>
        <v>38.85</v>
      </c>
      <c r="J285" s="64" t="s">
        <v>87</v>
      </c>
      <c r="K285" s="201" t="s">
        <v>88</v>
      </c>
      <c r="L285" s="139"/>
      <c r="M285" s="248">
        <f>TIGPSCE</f>
        <v>4.68</v>
      </c>
      <c r="N285" s="638"/>
      <c r="O285" s="655" t="str">
        <f>P</f>
        <v>. . .</v>
      </c>
      <c r="P285" s="234" t="s">
        <v>89</v>
      </c>
      <c r="Q285" s="186">
        <f>TVABUTSCEmetro</f>
        <v>8.584800000000001</v>
      </c>
      <c r="R285" s="186">
        <f>TVABUTSCEcorse</f>
        <v>5.694000000000001</v>
      </c>
      <c r="S285" s="156"/>
      <c r="T285" s="149">
        <v>5721</v>
      </c>
      <c r="U285" s="150"/>
      <c r="W285" s="157">
        <v>5927</v>
      </c>
      <c r="X285" s="152">
        <v>9301</v>
      </c>
      <c r="Y285" s="141">
        <v>5930</v>
      </c>
      <c r="Z285" s="141">
        <v>9308</v>
      </c>
      <c r="AA285" s="141">
        <v>9301</v>
      </c>
      <c r="AB285" s="19"/>
      <c r="AC285" s="20"/>
      <c r="AD285" s="233"/>
      <c r="AE285" s="206"/>
      <c r="AF285" s="206"/>
      <c r="AG285" s="206"/>
      <c r="AH285" s="206"/>
      <c r="AI285" s="206"/>
      <c r="AJ285" s="206"/>
      <c r="AK285" s="206"/>
      <c r="AL285" s="206"/>
      <c r="AM285" s="206"/>
      <c r="AN285" s="206"/>
      <c r="AO285" s="206"/>
      <c r="AP285" s="206"/>
      <c r="AQ285" s="206"/>
      <c r="AR285" s="206"/>
      <c r="AS285" s="206"/>
      <c r="AT285" s="206"/>
      <c r="AU285" s="206"/>
      <c r="AV285" s="206"/>
      <c r="AW285" s="206"/>
      <c r="AX285" s="206"/>
      <c r="AY285" s="206"/>
      <c r="AZ285" s="206"/>
      <c r="BA285" s="206"/>
      <c r="BB285" s="206"/>
      <c r="BC285" s="206"/>
      <c r="BD285" s="206"/>
      <c r="BE285" s="206"/>
      <c r="BF285" s="206"/>
      <c r="BG285" s="31"/>
    </row>
    <row r="286" spans="1:59" ht="12.75">
      <c r="A286" s="434">
        <v>139</v>
      </c>
      <c r="B286" s="466" t="s">
        <v>90</v>
      </c>
      <c r="C286" s="471" t="s">
        <v>91</v>
      </c>
      <c r="D286" s="669" t="str">
        <f>P</f>
        <v>. . .</v>
      </c>
      <c r="E286" s="432" t="s">
        <v>92</v>
      </c>
      <c r="F286" s="140"/>
      <c r="G286" s="108" t="str">
        <f>P</f>
        <v>. . .</v>
      </c>
      <c r="H286" s="109" t="str">
        <f>P</f>
        <v>. . .</v>
      </c>
      <c r="I286" s="532">
        <f>VFBUT</f>
        <v>38.85</v>
      </c>
      <c r="J286" s="64" t="s">
        <v>93</v>
      </c>
      <c r="K286" s="201" t="s">
        <v>94</v>
      </c>
      <c r="L286" s="139"/>
      <c r="M286" s="248">
        <f>TIGP</f>
        <v>10.76</v>
      </c>
      <c r="N286" s="638"/>
      <c r="O286" s="655" t="str">
        <f>P</f>
        <v>. . .</v>
      </c>
      <c r="P286" s="234" t="str">
        <f>P</f>
        <v>. . .</v>
      </c>
      <c r="Q286" s="186">
        <f>TVABUTCARBmetro</f>
        <v>9.776480000000001</v>
      </c>
      <c r="R286" s="186">
        <f>TVABUTCARBcorse</f>
        <v>6.484400000000001</v>
      </c>
      <c r="S286" s="49"/>
      <c r="T286" s="50">
        <v>5714</v>
      </c>
      <c r="U286" s="51"/>
      <c r="W286" s="185">
        <v>5914</v>
      </c>
      <c r="X286" s="185"/>
      <c r="Y286" s="141"/>
      <c r="Z286" s="141"/>
      <c r="AA286" s="32"/>
      <c r="AB286" s="19"/>
      <c r="AC286" s="20"/>
      <c r="AD286" s="21"/>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31"/>
    </row>
    <row r="287" spans="1:59" ht="12.75">
      <c r="A287" s="434">
        <v>140</v>
      </c>
      <c r="B287" s="466" t="s">
        <v>95</v>
      </c>
      <c r="C287" s="471" t="s">
        <v>96</v>
      </c>
      <c r="D287" s="669" t="s">
        <v>97</v>
      </c>
      <c r="E287" s="432" t="s">
        <v>98</v>
      </c>
      <c r="F287" s="140"/>
      <c r="G287" s="108" t="s">
        <v>99</v>
      </c>
      <c r="H287" s="109" t="s">
        <v>100</v>
      </c>
      <c r="I287" s="64" t="str">
        <f>R</f>
        <v>Réelle</v>
      </c>
      <c r="J287" s="64" t="s">
        <v>101</v>
      </c>
      <c r="K287" s="202" t="s">
        <v>102</v>
      </c>
      <c r="L287" s="139"/>
      <c r="M287" s="248" t="s">
        <v>103</v>
      </c>
      <c r="N287" s="638"/>
      <c r="O287" s="655" t="str">
        <f>P</f>
        <v>. . .</v>
      </c>
      <c r="P287" s="234" t="s">
        <v>104</v>
      </c>
      <c r="Q287" s="186" t="str">
        <f>VI</f>
        <v>(25)</v>
      </c>
      <c r="R287" s="186" t="str">
        <f>VI</f>
        <v>(25)</v>
      </c>
      <c r="S287" s="156"/>
      <c r="W287" s="152" t="str">
        <f>t</f>
        <v>TVO</v>
      </c>
      <c r="X287" s="152"/>
      <c r="Y287" s="32"/>
      <c r="Z287" s="32"/>
      <c r="AA287" s="141"/>
      <c r="AB287" s="19"/>
      <c r="AC287" s="20"/>
      <c r="AD287" s="21"/>
      <c r="AE287" s="22"/>
      <c r="AF287" s="22"/>
      <c r="AG287" s="22"/>
      <c r="AH287" s="206"/>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31"/>
    </row>
    <row r="288" spans="1:59" s="7" customFormat="1" ht="12.75">
      <c r="A288" s="434"/>
      <c r="B288" s="466"/>
      <c r="C288" s="470" t="s">
        <v>105</v>
      </c>
      <c r="D288" s="669"/>
      <c r="E288" s="432"/>
      <c r="F288" s="140"/>
      <c r="G288" s="108"/>
      <c r="H288" s="109"/>
      <c r="I288" s="64"/>
      <c r="J288" s="64"/>
      <c r="K288" s="139"/>
      <c r="L288" s="139"/>
      <c r="M288" s="248"/>
      <c r="N288" s="638"/>
      <c r="O288" s="655"/>
      <c r="P288" s="234"/>
      <c r="Q288" s="186"/>
      <c r="R288" s="186"/>
      <c r="S288" s="156"/>
      <c r="T288" s="149"/>
      <c r="U288" s="150"/>
      <c r="V288" s="151"/>
      <c r="W288" s="152"/>
      <c r="X288" s="152"/>
      <c r="Y288" s="32">
        <v>9306</v>
      </c>
      <c r="Z288" s="32"/>
      <c r="AA288" s="141"/>
      <c r="AB288" s="19"/>
      <c r="AC288" s="20"/>
      <c r="AD288" s="233"/>
      <c r="AE288" s="206"/>
      <c r="AF288" s="206"/>
      <c r="AG288" s="206"/>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31"/>
    </row>
    <row r="289" spans="1:92" s="440" customFormat="1" ht="13.5" thickBot="1">
      <c r="A289" s="458"/>
      <c r="B289" s="474"/>
      <c r="C289" s="475" t="s">
        <v>106</v>
      </c>
      <c r="D289" s="671"/>
      <c r="E289" s="689"/>
      <c r="F289" s="690"/>
      <c r="G289" s="191"/>
      <c r="H289" s="192"/>
      <c r="I289" s="708"/>
      <c r="J289" s="708"/>
      <c r="K289" s="193"/>
      <c r="L289" s="193"/>
      <c r="M289" s="194"/>
      <c r="N289" s="641"/>
      <c r="O289" s="662"/>
      <c r="P289" s="644"/>
      <c r="Q289" s="343"/>
      <c r="R289" s="343"/>
      <c r="S289" s="156"/>
      <c r="T289" s="70"/>
      <c r="U289" s="71"/>
      <c r="V289" s="72"/>
      <c r="W289" s="73"/>
      <c r="X289" s="73"/>
      <c r="Y289" s="18"/>
      <c r="Z289" s="18"/>
      <c r="AA289" s="32"/>
      <c r="AB289" s="19"/>
      <c r="AC289" s="20"/>
      <c r="AD289" s="21"/>
      <c r="AE289" s="22"/>
      <c r="AF289" s="22"/>
      <c r="AG289" s="22"/>
      <c r="AH289" s="22"/>
      <c r="AI289" s="460"/>
      <c r="AJ289" s="460"/>
      <c r="AK289" s="460"/>
      <c r="AL289" s="460"/>
      <c r="AM289" s="460"/>
      <c r="AN289" s="460"/>
      <c r="AO289" s="460"/>
      <c r="AP289" s="460"/>
      <c r="AQ289" s="460"/>
      <c r="AR289" s="460"/>
      <c r="AS289" s="460"/>
      <c r="AT289" s="460"/>
      <c r="AU289" s="460"/>
      <c r="AV289" s="460"/>
      <c r="AW289" s="460"/>
      <c r="AX289" s="460"/>
      <c r="AY289" s="460"/>
      <c r="AZ289" s="460"/>
      <c r="BA289" s="460"/>
      <c r="BB289" s="460"/>
      <c r="BC289" s="460"/>
      <c r="BD289" s="460"/>
      <c r="BE289" s="460"/>
      <c r="BF289" s="460"/>
      <c r="BG289" s="438"/>
      <c r="BH289" s="428"/>
      <c r="BI289" s="428"/>
      <c r="BJ289" s="428"/>
      <c r="BK289" s="428"/>
      <c r="BL289" s="428"/>
      <c r="BM289" s="428"/>
      <c r="BN289" s="428"/>
      <c r="BO289" s="428"/>
      <c r="BP289" s="428"/>
      <c r="BQ289" s="428"/>
      <c r="BR289" s="428"/>
      <c r="BS289" s="428"/>
      <c r="BT289" s="428"/>
      <c r="BU289" s="428"/>
      <c r="BV289" s="428"/>
      <c r="BW289" s="428"/>
      <c r="BX289" s="428"/>
      <c r="BY289" s="428"/>
      <c r="BZ289" s="428"/>
      <c r="CA289" s="428"/>
      <c r="CB289" s="428"/>
      <c r="CC289" s="428"/>
      <c r="CD289" s="428"/>
      <c r="CE289" s="428"/>
      <c r="CF289" s="428"/>
      <c r="CG289" s="428"/>
      <c r="CH289" s="428"/>
      <c r="CI289" s="428"/>
      <c r="CJ289" s="428"/>
      <c r="CK289" s="428"/>
      <c r="CL289" s="428"/>
      <c r="CM289" s="428"/>
      <c r="CN289" s="428"/>
    </row>
    <row r="290" spans="1:59" ht="12.75">
      <c r="A290" s="434">
        <v>141</v>
      </c>
      <c r="B290" s="74" t="s">
        <v>107</v>
      </c>
      <c r="C290" s="91" t="s">
        <v>108</v>
      </c>
      <c r="D290" s="81" t="s">
        <v>109</v>
      </c>
      <c r="E290" s="432" t="s">
        <v>110</v>
      </c>
      <c r="F290" s="140"/>
      <c r="G290" s="183" t="s">
        <v>111</v>
      </c>
      <c r="H290" s="63" t="s">
        <v>112</v>
      </c>
      <c r="I290" s="532">
        <v>4.5</v>
      </c>
      <c r="J290" s="64" t="s">
        <v>113</v>
      </c>
      <c r="K290" s="388" t="s">
        <v>114</v>
      </c>
      <c r="L290" s="138"/>
      <c r="M290" s="248">
        <f>TIGC</f>
        <v>8.47</v>
      </c>
      <c r="N290" s="638"/>
      <c r="O290" s="655" t="str">
        <f>P</f>
        <v>. . .</v>
      </c>
      <c r="P290" s="234" t="s">
        <v>115</v>
      </c>
      <c r="Q290" s="186">
        <f>SUM(I290:P290)*19.6%</f>
        <v>2.54212</v>
      </c>
      <c r="R290" s="186">
        <f>SUM(I289:P290)*13%</f>
        <v>1.6861000000000002</v>
      </c>
      <c r="S290" s="69"/>
      <c r="T290" s="70">
        <v>5715</v>
      </c>
      <c r="U290" s="71"/>
      <c r="V290" s="330"/>
      <c r="W290" s="226">
        <v>5915</v>
      </c>
      <c r="X290" s="226"/>
      <c r="Y290" s="32">
        <v>9306</v>
      </c>
      <c r="Z290" s="32">
        <v>9301</v>
      </c>
      <c r="AA290" s="32"/>
      <c r="AB290" s="19"/>
      <c r="AC290" s="20"/>
      <c r="AD290" s="21"/>
      <c r="AE290" s="22"/>
      <c r="AF290" s="22"/>
      <c r="AG290" s="22"/>
      <c r="AH290" s="206"/>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31"/>
    </row>
    <row r="291" spans="1:59" ht="12.75">
      <c r="A291" s="434"/>
      <c r="B291" s="74"/>
      <c r="C291" s="91" t="s">
        <v>116</v>
      </c>
      <c r="D291" s="81"/>
      <c r="E291" s="432"/>
      <c r="F291" s="140"/>
      <c r="G291" s="108"/>
      <c r="H291" s="109"/>
      <c r="I291" s="64"/>
      <c r="J291" s="64"/>
      <c r="K291" s="139"/>
      <c r="L291" s="139"/>
      <c r="M291" s="248"/>
      <c r="N291" s="638"/>
      <c r="O291" s="655"/>
      <c r="P291" s="532"/>
      <c r="Q291" s="734"/>
      <c r="R291" s="186"/>
      <c r="S291" s="156"/>
      <c r="T291" s="50"/>
      <c r="U291" s="51"/>
      <c r="V291" s="52"/>
      <c r="W291" s="53"/>
      <c r="X291" s="53"/>
      <c r="Y291" s="32">
        <v>9306</v>
      </c>
      <c r="Z291" s="32">
        <v>9301</v>
      </c>
      <c r="AA291" s="32"/>
      <c r="AB291" s="19"/>
      <c r="AC291" s="20"/>
      <c r="AD291" s="21"/>
      <c r="AE291" s="22"/>
      <c r="AF291" s="22"/>
      <c r="AG291" s="22"/>
      <c r="AH291" s="22"/>
      <c r="AI291" s="477"/>
      <c r="AJ291" s="477"/>
      <c r="AK291" s="477"/>
      <c r="AL291" s="477"/>
      <c r="AM291" s="477"/>
      <c r="AN291" s="477"/>
      <c r="AO291" s="477"/>
      <c r="AP291" s="477"/>
      <c r="AQ291" s="477"/>
      <c r="AR291" s="477"/>
      <c r="AS291" s="477"/>
      <c r="AT291" s="477"/>
      <c r="AU291" s="477"/>
      <c r="AV291" s="477"/>
      <c r="AW291" s="477"/>
      <c r="AX291" s="477"/>
      <c r="AY291" s="477"/>
      <c r="AZ291" s="477"/>
      <c r="BA291" s="477"/>
      <c r="BB291" s="477"/>
      <c r="BC291" s="477"/>
      <c r="BD291" s="477"/>
      <c r="BE291" s="477"/>
      <c r="BF291" s="477"/>
      <c r="BG291" s="31"/>
    </row>
    <row r="292" spans="1:59" ht="12.75">
      <c r="A292" s="434">
        <v>142</v>
      </c>
      <c r="B292" s="466" t="s">
        <v>117</v>
      </c>
      <c r="C292" s="467" t="s">
        <v>118</v>
      </c>
      <c r="D292" s="684" t="s">
        <v>119</v>
      </c>
      <c r="E292" s="432" t="s">
        <v>120</v>
      </c>
      <c r="F292" s="140"/>
      <c r="G292" s="108" t="e">
        <f>NA()</f>
        <v>#N/A</v>
      </c>
      <c r="H292" s="109" t="e">
        <f>NA()</f>
        <v>#N/A</v>
      </c>
      <c r="I292" s="532">
        <f>I290</f>
        <v>4.5</v>
      </c>
      <c r="J292" s="64" t="s">
        <v>121</v>
      </c>
      <c r="K292" s="202" t="s">
        <v>122</v>
      </c>
      <c r="L292" s="139"/>
      <c r="M292" s="248">
        <f>TIGC</f>
        <v>8.47</v>
      </c>
      <c r="N292" s="638"/>
      <c r="O292" s="655" t="str">
        <f aca="true" t="shared" si="4" ref="O292:P294">P</f>
        <v>. . .</v>
      </c>
      <c r="P292" s="655" t="str">
        <f t="shared" si="4"/>
        <v>. . .</v>
      </c>
      <c r="Q292" s="734">
        <f>TVAGAZNATCARBMETRO</f>
        <v>2.54212</v>
      </c>
      <c r="R292" s="186">
        <f>TVAGAZNATCARBCORSE</f>
        <v>1.6861000000000002</v>
      </c>
      <c r="S292" s="156"/>
      <c r="T292" s="70">
        <v>5715</v>
      </c>
      <c r="U292" s="71"/>
      <c r="W292" s="226">
        <v>5915</v>
      </c>
      <c r="X292" s="226"/>
      <c r="Y292" s="32">
        <v>5930</v>
      </c>
      <c r="Z292" s="32">
        <v>9301</v>
      </c>
      <c r="AA292" s="18"/>
      <c r="AB292" s="19"/>
      <c r="AC292" s="20"/>
      <c r="AD292" s="21"/>
      <c r="AE292" s="22"/>
      <c r="AF292" s="22"/>
      <c r="AG292" s="22"/>
      <c r="AH292" s="22"/>
      <c r="AI292" s="477"/>
      <c r="AJ292" s="477"/>
      <c r="AK292" s="477"/>
      <c r="AL292" s="477"/>
      <c r="AM292" s="477"/>
      <c r="AN292" s="477"/>
      <c r="AO292" s="477"/>
      <c r="AP292" s="477"/>
      <c r="AQ292" s="477"/>
      <c r="AR292" s="477"/>
      <c r="AS292" s="477"/>
      <c r="AT292" s="477"/>
      <c r="AU292" s="477"/>
      <c r="AV292" s="477"/>
      <c r="AW292" s="477"/>
      <c r="AX292" s="477"/>
      <c r="AY292" s="477"/>
      <c r="AZ292" s="477"/>
      <c r="BA292" s="477"/>
      <c r="BB292" s="477"/>
      <c r="BC292" s="477"/>
      <c r="BD292" s="477"/>
      <c r="BE292" s="477"/>
      <c r="BF292" s="477"/>
      <c r="BG292" s="31"/>
    </row>
    <row r="293" spans="1:59" ht="12.75">
      <c r="A293" s="434">
        <v>143</v>
      </c>
      <c r="B293" s="466" t="s">
        <v>123</v>
      </c>
      <c r="C293" s="467" t="s">
        <v>124</v>
      </c>
      <c r="D293" s="684" t="s">
        <v>125</v>
      </c>
      <c r="E293" s="432" t="s">
        <v>126</v>
      </c>
      <c r="F293" s="140"/>
      <c r="G293" s="108" t="e">
        <f>NA()</f>
        <v>#N/A</v>
      </c>
      <c r="H293" s="109" t="e">
        <f>NA()</f>
        <v>#N/A</v>
      </c>
      <c r="I293" s="532">
        <f>I290</f>
        <v>4.5</v>
      </c>
      <c r="J293" s="64" t="s">
        <v>127</v>
      </c>
      <c r="K293" s="202" t="s">
        <v>128</v>
      </c>
      <c r="L293" s="139"/>
      <c r="M293" s="248">
        <f>TIGC</f>
        <v>8.47</v>
      </c>
      <c r="N293" s="638"/>
      <c r="O293" s="655" t="str">
        <f t="shared" si="4"/>
        <v>. . .</v>
      </c>
      <c r="P293" s="655" t="str">
        <f t="shared" si="4"/>
        <v>. . .</v>
      </c>
      <c r="Q293" s="734">
        <f>TVAGAZNATCARBMETRO</f>
        <v>2.54212</v>
      </c>
      <c r="R293" s="186">
        <f>TVAGAZNATCARBCORSE</f>
        <v>1.6861000000000002</v>
      </c>
      <c r="S293" s="69"/>
      <c r="T293" s="70">
        <v>5715</v>
      </c>
      <c r="U293" s="71"/>
      <c r="W293" s="226">
        <v>5915</v>
      </c>
      <c r="X293" s="226"/>
      <c r="Y293" s="32"/>
      <c r="Z293" s="32"/>
      <c r="AA293" s="32"/>
      <c r="AB293" s="19"/>
      <c r="AC293" s="20"/>
      <c r="AD293" s="21"/>
      <c r="AE293" s="22"/>
      <c r="AF293" s="22"/>
      <c r="AG293" s="22"/>
      <c r="AH293" s="22"/>
      <c r="AI293" s="477"/>
      <c r="AJ293" s="477"/>
      <c r="AK293" s="477"/>
      <c r="AL293" s="477"/>
      <c r="AM293" s="477"/>
      <c r="AN293" s="477"/>
      <c r="AO293" s="477"/>
      <c r="AP293" s="477"/>
      <c r="AQ293" s="477"/>
      <c r="AR293" s="477"/>
      <c r="AS293" s="477"/>
      <c r="AT293" s="477"/>
      <c r="AU293" s="477"/>
      <c r="AV293" s="477"/>
      <c r="AW293" s="477"/>
      <c r="AX293" s="477"/>
      <c r="AY293" s="477"/>
      <c r="AZ293" s="477"/>
      <c r="BA293" s="477"/>
      <c r="BB293" s="477"/>
      <c r="BC293" s="477"/>
      <c r="BD293" s="477"/>
      <c r="BE293" s="477"/>
      <c r="BF293" s="477"/>
      <c r="BG293" s="31"/>
    </row>
    <row r="294" spans="1:59" ht="12.75">
      <c r="A294" s="434">
        <v>144</v>
      </c>
      <c r="B294" s="466" t="s">
        <v>129</v>
      </c>
      <c r="C294" s="467" t="s">
        <v>130</v>
      </c>
      <c r="D294" s="684" t="s">
        <v>131</v>
      </c>
      <c r="E294" s="432" t="s">
        <v>132</v>
      </c>
      <c r="F294" s="140"/>
      <c r="G294" s="108" t="e">
        <f>NA()</f>
        <v>#N/A</v>
      </c>
      <c r="H294" s="109" t="e">
        <f>NA()</f>
        <v>#N/A</v>
      </c>
      <c r="I294" s="64" t="str">
        <f>R</f>
        <v>Réelle</v>
      </c>
      <c r="J294" s="64" t="str">
        <f>P</f>
        <v>. . .</v>
      </c>
      <c r="K294" s="202" t="s">
        <v>133</v>
      </c>
      <c r="L294" s="139"/>
      <c r="M294" s="248" t="s">
        <v>134</v>
      </c>
      <c r="N294" s="638"/>
      <c r="O294" s="655" t="str">
        <f t="shared" si="4"/>
        <v>. . .</v>
      </c>
      <c r="P294" s="655" t="str">
        <f t="shared" si="4"/>
        <v>. . .</v>
      </c>
      <c r="Q294" s="734" t="str">
        <f>VI</f>
        <v>(25)</v>
      </c>
      <c r="R294" s="186" t="str">
        <f>VI</f>
        <v>(25)</v>
      </c>
      <c r="S294" s="69"/>
      <c r="W294" s="73" t="str">
        <f>t</f>
        <v>TVO</v>
      </c>
      <c r="X294" s="73"/>
      <c r="Y294" s="217">
        <v>9348</v>
      </c>
      <c r="Z294" s="217"/>
      <c r="AA294" s="32"/>
      <c r="AB294" s="19"/>
      <c r="AC294" s="20"/>
      <c r="AD294" s="21"/>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31"/>
    </row>
    <row r="295" spans="1:92" s="440" customFormat="1" ht="13.5" thickBot="1">
      <c r="A295" s="434"/>
      <c r="B295" s="468"/>
      <c r="C295" s="478" t="s">
        <v>135</v>
      </c>
      <c r="D295" s="673"/>
      <c r="E295" s="693"/>
      <c r="F295" s="694"/>
      <c r="G295" s="213"/>
      <c r="H295" s="214"/>
      <c r="I295" s="709"/>
      <c r="J295" s="709"/>
      <c r="K295" s="215"/>
      <c r="L295" s="215"/>
      <c r="M295" s="248"/>
      <c r="N295" s="346"/>
      <c r="O295" s="658"/>
      <c r="P295" s="658"/>
      <c r="Q295" s="734"/>
      <c r="R295" s="186"/>
      <c r="S295" s="69"/>
      <c r="T295" s="70"/>
      <c r="U295" s="71"/>
      <c r="V295" s="72"/>
      <c r="W295" s="73"/>
      <c r="X295" s="73"/>
      <c r="Y295" s="217">
        <v>9348</v>
      </c>
      <c r="Z295" s="217"/>
      <c r="AA295" s="32"/>
      <c r="AB295" s="723"/>
      <c r="AC295" s="501"/>
      <c r="AD295" s="724"/>
      <c r="AE295" s="477"/>
      <c r="AF295" s="477"/>
      <c r="AG295" s="477"/>
      <c r="AH295" s="477"/>
      <c r="AI295" s="736"/>
      <c r="AJ295" s="437"/>
      <c r="AK295" s="437"/>
      <c r="AL295" s="437"/>
      <c r="AM295" s="437"/>
      <c r="AN295" s="437"/>
      <c r="AO295" s="437"/>
      <c r="AP295" s="437"/>
      <c r="AQ295" s="437"/>
      <c r="AR295" s="437"/>
      <c r="AS295" s="437"/>
      <c r="AT295" s="437"/>
      <c r="AU295" s="437"/>
      <c r="AV295" s="437"/>
      <c r="AW295" s="437"/>
      <c r="AX295" s="437"/>
      <c r="AY295" s="437"/>
      <c r="AZ295" s="437"/>
      <c r="BA295" s="437"/>
      <c r="BB295" s="437"/>
      <c r="BC295" s="437"/>
      <c r="BD295" s="437"/>
      <c r="BE295" s="437"/>
      <c r="BF295" s="437"/>
      <c r="BG295" s="438"/>
      <c r="BH295" s="439"/>
      <c r="BI295" s="439"/>
      <c r="BJ295" s="439"/>
      <c r="BK295" s="439"/>
      <c r="BL295" s="439"/>
      <c r="BM295" s="439"/>
      <c r="BN295" s="439"/>
      <c r="BO295" s="439"/>
      <c r="BP295" s="439"/>
      <c r="BQ295" s="439"/>
      <c r="BR295" s="439"/>
      <c r="BS295" s="439"/>
      <c r="BT295" s="439"/>
      <c r="BU295" s="439"/>
      <c r="BV295" s="439"/>
      <c r="BW295" s="439"/>
      <c r="BX295" s="439"/>
      <c r="BY295" s="439"/>
      <c r="BZ295" s="439"/>
      <c r="CA295" s="439"/>
      <c r="CB295" s="439"/>
      <c r="CC295" s="439"/>
      <c r="CD295" s="439"/>
      <c r="CE295" s="439"/>
      <c r="CF295" s="439"/>
      <c r="CG295" s="439"/>
      <c r="CH295" s="439"/>
      <c r="CI295" s="439"/>
      <c r="CJ295" s="439"/>
      <c r="CK295" s="439"/>
      <c r="CL295" s="439"/>
      <c r="CM295" s="439"/>
      <c r="CN295" s="439"/>
    </row>
    <row r="296" spans="1:59" ht="12.75">
      <c r="A296" s="434">
        <v>145</v>
      </c>
      <c r="B296" s="74" t="s">
        <v>136</v>
      </c>
      <c r="C296" s="89" t="s">
        <v>137</v>
      </c>
      <c r="D296" s="81" t="str">
        <f>P</f>
        <v>. . .</v>
      </c>
      <c r="E296" s="432" t="s">
        <v>138</v>
      </c>
      <c r="F296" s="140"/>
      <c r="G296" s="183" t="str">
        <f>P</f>
        <v>. . .</v>
      </c>
      <c r="H296" s="63" t="str">
        <f>P</f>
        <v>. . .</v>
      </c>
      <c r="I296" s="64">
        <f>VFVASCIRPARAFBRUTES</f>
        <v>45.73</v>
      </c>
      <c r="J296" s="64" t="s">
        <v>139</v>
      </c>
      <c r="K296" s="479" t="s">
        <v>140</v>
      </c>
      <c r="L296" s="138"/>
      <c r="M296" s="248" t="s">
        <v>141</v>
      </c>
      <c r="N296" s="638"/>
      <c r="O296" s="655" t="str">
        <f>P</f>
        <v>. . .</v>
      </c>
      <c r="P296" s="532" t="str">
        <f>P</f>
        <v>. . .</v>
      </c>
      <c r="Q296" s="734">
        <f>tvavascirparafbrutmetro</f>
        <v>9.0258</v>
      </c>
      <c r="R296" s="186">
        <f>tvavascirparafbrutecorse</f>
        <v>5.9864999999999995</v>
      </c>
      <c r="S296" s="69"/>
      <c r="W296" s="225">
        <v>5916</v>
      </c>
      <c r="X296" s="225"/>
      <c r="Y296" s="141"/>
      <c r="Z296" s="141"/>
      <c r="AA296" s="32"/>
      <c r="AB296" s="19"/>
      <c r="AC296" s="20"/>
      <c r="AD296" s="21"/>
      <c r="AE296" s="477"/>
      <c r="AF296" s="477"/>
      <c r="AG296" s="477"/>
      <c r="AH296" s="477"/>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31"/>
    </row>
    <row r="297" spans="1:59" ht="12.75">
      <c r="A297" s="434">
        <v>146</v>
      </c>
      <c r="B297" s="466" t="s">
        <v>142</v>
      </c>
      <c r="C297" s="480" t="s">
        <v>143</v>
      </c>
      <c r="D297" s="669" t="s">
        <v>144</v>
      </c>
      <c r="E297" s="432">
        <f>TEC27121090</f>
        <v>0.022</v>
      </c>
      <c r="F297" s="140"/>
      <c r="G297" s="108" t="s">
        <v>145</v>
      </c>
      <c r="H297" s="109" t="s">
        <v>146</v>
      </c>
      <c r="I297" s="64">
        <f>VFVASCIRAUTRE</f>
        <v>91.47</v>
      </c>
      <c r="J297" s="64" t="s">
        <v>147</v>
      </c>
      <c r="K297" s="201">
        <f>ROUND(I297*TEC27121090,2)</f>
        <v>2.01</v>
      </c>
      <c r="L297" s="139"/>
      <c r="M297" s="248" t="s">
        <v>148</v>
      </c>
      <c r="N297" s="184"/>
      <c r="O297" s="532" t="str">
        <f>P</f>
        <v>. . .</v>
      </c>
      <c r="P297" s="532" t="s">
        <v>149</v>
      </c>
      <c r="Q297" s="734">
        <f>SUM(I297:P297)*19.6%</f>
        <v>18.322080000000003</v>
      </c>
      <c r="R297" s="186">
        <f>SUM(I297:P297)*13%</f>
        <v>12.1524</v>
      </c>
      <c r="S297" s="69"/>
      <c r="T297" s="444"/>
      <c r="U297" s="445"/>
      <c r="V297" s="446"/>
      <c r="W297" s="225">
        <v>5917</v>
      </c>
      <c r="X297" s="225"/>
      <c r="Y297" s="18">
        <v>9348</v>
      </c>
      <c r="Z297" s="18"/>
      <c r="AA297" s="217"/>
      <c r="AB297" s="19"/>
      <c r="AC297" s="20"/>
      <c r="AD297" s="21"/>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31"/>
    </row>
    <row r="298" spans="1:59" ht="12.75">
      <c r="A298" s="434"/>
      <c r="B298" s="466"/>
      <c r="C298" s="481" t="s">
        <v>150</v>
      </c>
      <c r="D298" s="669"/>
      <c r="E298" s="432"/>
      <c r="F298" s="140"/>
      <c r="G298" s="108"/>
      <c r="H298" s="109"/>
      <c r="I298" s="64"/>
      <c r="J298" s="64"/>
      <c r="K298" s="139"/>
      <c r="L298" s="139"/>
      <c r="M298" s="248"/>
      <c r="N298" s="638"/>
      <c r="O298" s="655"/>
      <c r="P298" s="234"/>
      <c r="Q298" s="186"/>
      <c r="R298" s="186"/>
      <c r="S298" s="69"/>
      <c r="T298" s="149"/>
      <c r="U298" s="150"/>
      <c r="V298" s="151"/>
      <c r="W298" s="152"/>
      <c r="X298" s="152"/>
      <c r="Y298" s="18">
        <v>9348</v>
      </c>
      <c r="Z298" s="18"/>
      <c r="AA298" s="217"/>
      <c r="AB298" s="19"/>
      <c r="AC298" s="20"/>
      <c r="AD298" s="21"/>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31"/>
    </row>
    <row r="299" spans="1:59" ht="12.75">
      <c r="A299" s="434">
        <v>147</v>
      </c>
      <c r="B299" s="466" t="s">
        <v>151</v>
      </c>
      <c r="C299" s="471" t="s">
        <v>152</v>
      </c>
      <c r="D299" s="669" t="str">
        <f>P</f>
        <v>. . .</v>
      </c>
      <c r="E299" s="432" t="s">
        <v>153</v>
      </c>
      <c r="F299" s="140"/>
      <c r="G299" s="108" t="str">
        <f>P</f>
        <v>. . .</v>
      </c>
      <c r="H299" s="109" t="str">
        <f>P</f>
        <v>. . .</v>
      </c>
      <c r="I299" s="64">
        <f>VFPARAFAUTRES</f>
        <v>60.98</v>
      </c>
      <c r="J299" s="64" t="s">
        <v>154</v>
      </c>
      <c r="K299" s="139" t="s">
        <v>155</v>
      </c>
      <c r="L299" s="139"/>
      <c r="M299" s="248" t="s">
        <v>156</v>
      </c>
      <c r="N299" s="638"/>
      <c r="O299" s="655" t="str">
        <f>P</f>
        <v>. . .</v>
      </c>
      <c r="P299" s="234" t="str">
        <f>P</f>
        <v>. . .</v>
      </c>
      <c r="Q299" s="186">
        <f>TVAPARAFAUTREMETRO</f>
        <v>12.21472</v>
      </c>
      <c r="R299" s="186">
        <f>TVAPARAFAUTRECORSE</f>
        <v>8.1016</v>
      </c>
      <c r="S299" s="69"/>
      <c r="W299" s="185">
        <v>5918</v>
      </c>
      <c r="X299" s="185"/>
      <c r="Y299" s="141"/>
      <c r="Z299" s="141"/>
      <c r="AA299" s="141"/>
      <c r="AB299" s="19"/>
      <c r="AC299" s="20"/>
      <c r="AD299" s="21"/>
      <c r="AE299" s="22"/>
      <c r="AF299" s="22"/>
      <c r="AG299" s="22"/>
      <c r="AH299" s="22"/>
      <c r="AI299" s="477"/>
      <c r="AJ299" s="477"/>
      <c r="AK299" s="477"/>
      <c r="AL299" s="477"/>
      <c r="AM299" s="477"/>
      <c r="AN299" s="477"/>
      <c r="AO299" s="477"/>
      <c r="AP299" s="477"/>
      <c r="AQ299" s="477"/>
      <c r="AR299" s="477"/>
      <c r="AS299" s="477"/>
      <c r="AT299" s="477"/>
      <c r="AU299" s="477"/>
      <c r="AV299" s="477"/>
      <c r="AW299" s="477"/>
      <c r="AX299" s="477"/>
      <c r="AY299" s="477"/>
      <c r="AZ299" s="477"/>
      <c r="BA299" s="477"/>
      <c r="BB299" s="477"/>
      <c r="BC299" s="477"/>
      <c r="BD299" s="477"/>
      <c r="BE299" s="477"/>
      <c r="BF299" s="477"/>
      <c r="BG299" s="31"/>
    </row>
    <row r="300" spans="1:59" ht="12.75">
      <c r="A300" s="434">
        <v>148</v>
      </c>
      <c r="B300" s="466" t="s">
        <v>157</v>
      </c>
      <c r="C300" s="471" t="s">
        <v>158</v>
      </c>
      <c r="D300" s="669" t="s">
        <v>159</v>
      </c>
      <c r="E300" s="432">
        <f>TEC27122090</f>
        <v>0.022</v>
      </c>
      <c r="F300" s="140"/>
      <c r="G300" s="108" t="s">
        <v>160</v>
      </c>
      <c r="H300" s="109" t="s">
        <v>161</v>
      </c>
      <c r="I300" s="64">
        <f>VFPARAFAUTRES</f>
        <v>60.98</v>
      </c>
      <c r="J300" s="64" t="s">
        <v>162</v>
      </c>
      <c r="K300" s="201">
        <f>ROUND(I300*TEC27122090,2)</f>
        <v>1.34</v>
      </c>
      <c r="L300" s="139"/>
      <c r="M300" s="248" t="s">
        <v>163</v>
      </c>
      <c r="N300" s="638"/>
      <c r="O300" s="655" t="str">
        <f>P</f>
        <v>. . .</v>
      </c>
      <c r="P300" s="234" t="s">
        <v>164</v>
      </c>
      <c r="Q300" s="186">
        <f>SUM(I300:P300)*19.6%</f>
        <v>12.21472</v>
      </c>
      <c r="R300" s="186">
        <f>SUM(I300:P300)*13%</f>
        <v>8.1016</v>
      </c>
      <c r="S300" s="69"/>
      <c r="W300" s="185">
        <v>5918</v>
      </c>
      <c r="X300" s="185"/>
      <c r="Y300" s="141">
        <v>9052</v>
      </c>
      <c r="Z300" s="141">
        <v>9348</v>
      </c>
      <c r="AA300" s="18"/>
      <c r="AB300" s="19"/>
      <c r="AC300" s="20"/>
      <c r="AD300" s="21"/>
      <c r="AE300" s="22"/>
      <c r="AF300" s="22"/>
      <c r="AG300" s="22"/>
      <c r="AH300" s="22"/>
      <c r="AI300" s="22">
        <v>0</v>
      </c>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31"/>
    </row>
    <row r="301" spans="1:59" ht="12.75">
      <c r="A301" s="434"/>
      <c r="B301" s="466"/>
      <c r="C301" s="481" t="s">
        <v>165</v>
      </c>
      <c r="D301" s="669"/>
      <c r="E301" s="432"/>
      <c r="F301" s="140"/>
      <c r="G301" s="108"/>
      <c r="H301" s="109"/>
      <c r="I301" s="64"/>
      <c r="J301" s="64"/>
      <c r="K301" s="139"/>
      <c r="L301" s="139"/>
      <c r="M301" s="248"/>
      <c r="N301" s="638"/>
      <c r="O301" s="655"/>
      <c r="P301" s="234"/>
      <c r="Q301" s="186"/>
      <c r="R301" s="186"/>
      <c r="S301" s="224"/>
      <c r="T301" s="149"/>
      <c r="U301" s="150"/>
      <c r="V301" s="151"/>
      <c r="W301" s="152"/>
      <c r="X301" s="152"/>
      <c r="Y301" s="141"/>
      <c r="Z301" s="141"/>
      <c r="AA301" s="18"/>
      <c r="AB301" s="19"/>
      <c r="AC301" s="20"/>
      <c r="AD301" s="21"/>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31"/>
    </row>
    <row r="302" spans="1:59" ht="12.75">
      <c r="A302" s="434">
        <v>149</v>
      </c>
      <c r="B302" s="466" t="s">
        <v>166</v>
      </c>
      <c r="C302" s="471" t="s">
        <v>167</v>
      </c>
      <c r="D302" s="669" t="s">
        <v>168</v>
      </c>
      <c r="E302" s="432" t="s">
        <v>169</v>
      </c>
      <c r="F302" s="140"/>
      <c r="G302" s="108" t="s">
        <v>170</v>
      </c>
      <c r="H302" s="109" t="s">
        <v>171</v>
      </c>
      <c r="I302" s="64" t="s">
        <v>172</v>
      </c>
      <c r="J302" s="64" t="s">
        <v>173</v>
      </c>
      <c r="K302" s="202" t="s">
        <v>174</v>
      </c>
      <c r="L302" s="139"/>
      <c r="M302" s="248" t="str">
        <f>"(3)"</f>
        <v>(3)</v>
      </c>
      <c r="N302" s="638"/>
      <c r="O302" s="64" t="str">
        <f>P</f>
        <v>. . .</v>
      </c>
      <c r="P302" s="183" t="str">
        <f>"(3)"</f>
        <v>(3)</v>
      </c>
      <c r="Q302" s="186" t="str">
        <f>"(3)"</f>
        <v>(3)</v>
      </c>
      <c r="R302" s="186" t="str">
        <f>"(3)"</f>
        <v>(3)</v>
      </c>
      <c r="S302" s="224"/>
      <c r="W302" s="152" t="str">
        <f>t</f>
        <v>TVO</v>
      </c>
      <c r="X302" s="152">
        <v>5930</v>
      </c>
      <c r="Y302" s="141">
        <v>9052</v>
      </c>
      <c r="Z302" s="141">
        <v>9348</v>
      </c>
      <c r="AA302" s="141"/>
      <c r="AB302" s="19"/>
      <c r="AC302" s="20"/>
      <c r="AD302" s="21"/>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31"/>
    </row>
    <row r="303" spans="1:59" ht="12.75">
      <c r="A303" s="434">
        <v>150</v>
      </c>
      <c r="B303" s="466" t="s">
        <v>175</v>
      </c>
      <c r="C303" s="471" t="s">
        <v>176</v>
      </c>
      <c r="D303" s="669"/>
      <c r="E303" s="432"/>
      <c r="F303" s="140"/>
      <c r="G303" s="108"/>
      <c r="H303" s="109"/>
      <c r="I303" s="64"/>
      <c r="J303" s="64"/>
      <c r="K303" s="139"/>
      <c r="L303" s="139"/>
      <c r="M303" s="248"/>
      <c r="N303" s="638"/>
      <c r="O303" s="655"/>
      <c r="P303" s="234"/>
      <c r="Q303" s="186"/>
      <c r="R303" s="186"/>
      <c r="S303" s="156"/>
      <c r="W303" s="152"/>
      <c r="X303" s="152"/>
      <c r="Y303" s="32">
        <v>9348</v>
      </c>
      <c r="Z303" s="32"/>
      <c r="AA303" s="141"/>
      <c r="AB303" s="19"/>
      <c r="AC303" s="20"/>
      <c r="AD303" s="21"/>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31"/>
    </row>
    <row r="304" spans="1:59" ht="12.75">
      <c r="A304" s="434"/>
      <c r="B304" s="466"/>
      <c r="C304" s="471" t="s">
        <v>177</v>
      </c>
      <c r="D304" s="669" t="s">
        <v>178</v>
      </c>
      <c r="E304" s="432" t="s">
        <v>179</v>
      </c>
      <c r="F304" s="140"/>
      <c r="G304" s="108" t="s">
        <v>180</v>
      </c>
      <c r="H304" s="109" t="s">
        <v>181</v>
      </c>
      <c r="I304" s="64" t="s">
        <v>182</v>
      </c>
      <c r="J304" s="64" t="s">
        <v>183</v>
      </c>
      <c r="K304" s="202" t="s">
        <v>184</v>
      </c>
      <c r="L304" s="139"/>
      <c r="M304" s="248" t="str">
        <f>"(3)"</f>
        <v>(3)</v>
      </c>
      <c r="N304" s="638"/>
      <c r="O304" s="64" t="str">
        <f>P</f>
        <v>. . .</v>
      </c>
      <c r="P304" s="183" t="str">
        <f>"(3)"</f>
        <v>(3)</v>
      </c>
      <c r="Q304" s="186" t="str">
        <f>"(3)"</f>
        <v>(3)</v>
      </c>
      <c r="R304" s="186" t="str">
        <f>"(3)"</f>
        <v>(3)</v>
      </c>
      <c r="S304" s="49"/>
      <c r="W304" s="152" t="str">
        <f>t</f>
        <v>TVO</v>
      </c>
      <c r="X304" s="152">
        <v>5930</v>
      </c>
      <c r="Y304" s="141"/>
      <c r="Z304" s="141"/>
      <c r="AA304" s="18"/>
      <c r="AB304" s="19"/>
      <c r="AC304" s="20"/>
      <c r="AD304" s="21"/>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31"/>
    </row>
    <row r="305" spans="1:59" ht="12.75">
      <c r="A305" s="434">
        <v>151</v>
      </c>
      <c r="B305" s="74" t="s">
        <v>185</v>
      </c>
      <c r="C305" s="91" t="s">
        <v>186</v>
      </c>
      <c r="D305" s="81" t="str">
        <f>P</f>
        <v>. . .</v>
      </c>
      <c r="E305" s="432">
        <f>TEC27129039</f>
        <v>0.007</v>
      </c>
      <c r="F305" s="140"/>
      <c r="G305" s="183" t="str">
        <f>P</f>
        <v>. . .</v>
      </c>
      <c r="H305" s="63" t="str">
        <f>P</f>
        <v>. . .</v>
      </c>
      <c r="I305" s="64">
        <f>VFVASCIRPARAFBRUTES</f>
        <v>45.73</v>
      </c>
      <c r="J305" s="64" t="s">
        <v>187</v>
      </c>
      <c r="K305" s="184">
        <f>ROUND(I305*TEC27129039,2)</f>
        <v>0.32</v>
      </c>
      <c r="L305" s="138"/>
      <c r="M305" s="248" t="s">
        <v>188</v>
      </c>
      <c r="N305" s="638"/>
      <c r="O305" s="655" t="str">
        <f>P</f>
        <v>. . .</v>
      </c>
      <c r="P305" s="234" t="str">
        <f>P</f>
        <v>. . .</v>
      </c>
      <c r="Q305" s="186">
        <f>SUM(I305:P305)*19.6%</f>
        <v>9.0258</v>
      </c>
      <c r="R305" s="186">
        <f>SUM(I305:P305)*13%</f>
        <v>5.9864999999999995</v>
      </c>
      <c r="S305" s="156"/>
      <c r="V305" s="330"/>
      <c r="W305" s="226">
        <v>5916</v>
      </c>
      <c r="X305" s="226"/>
      <c r="Y305" s="141"/>
      <c r="Z305" s="141"/>
      <c r="AA305" s="32"/>
      <c r="AB305" s="19"/>
      <c r="AC305" s="20"/>
      <c r="AD305" s="21"/>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31"/>
    </row>
    <row r="306" spans="1:59" ht="12.75">
      <c r="A306" s="434"/>
      <c r="B306" s="468"/>
      <c r="C306" s="478" t="s">
        <v>189</v>
      </c>
      <c r="D306" s="673"/>
      <c r="E306" s="693"/>
      <c r="F306" s="694"/>
      <c r="G306" s="213"/>
      <c r="H306" s="214"/>
      <c r="I306" s="709"/>
      <c r="J306" s="709"/>
      <c r="K306" s="215"/>
      <c r="L306" s="215"/>
      <c r="M306" s="248"/>
      <c r="N306" s="346"/>
      <c r="O306" s="658"/>
      <c r="P306" s="650"/>
      <c r="Q306" s="186"/>
      <c r="R306" s="186"/>
      <c r="S306" s="156"/>
      <c r="W306" s="152"/>
      <c r="X306" s="152"/>
      <c r="Y306" s="18"/>
      <c r="Z306" s="18"/>
      <c r="AA306" s="18"/>
      <c r="AB306" s="19"/>
      <c r="AC306" s="20"/>
      <c r="AD306" s="21"/>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31"/>
    </row>
    <row r="307" spans="1:59" ht="12.75">
      <c r="A307" s="434"/>
      <c r="B307" s="466"/>
      <c r="C307" s="467" t="s">
        <v>190</v>
      </c>
      <c r="D307" s="669"/>
      <c r="E307" s="432"/>
      <c r="F307" s="140"/>
      <c r="G307" s="108"/>
      <c r="H307" s="109"/>
      <c r="I307" s="64"/>
      <c r="J307" s="64"/>
      <c r="K307" s="139"/>
      <c r="L307" s="139"/>
      <c r="M307" s="248"/>
      <c r="N307" s="638"/>
      <c r="O307" s="655"/>
      <c r="P307" s="234"/>
      <c r="Q307" s="186"/>
      <c r="R307" s="186"/>
      <c r="S307" s="69"/>
      <c r="W307" s="152"/>
      <c r="X307" s="152"/>
      <c r="Y307" s="18">
        <v>9348</v>
      </c>
      <c r="Z307" s="18"/>
      <c r="AA307" s="141"/>
      <c r="AB307" s="196"/>
      <c r="AC307" s="20"/>
      <c r="AD307" s="21"/>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31"/>
    </row>
    <row r="308" spans="1:59" ht="12.75">
      <c r="A308" s="434"/>
      <c r="B308" s="466"/>
      <c r="C308" s="467" t="s">
        <v>191</v>
      </c>
      <c r="D308" s="669"/>
      <c r="E308" s="432"/>
      <c r="F308" s="140"/>
      <c r="G308" s="108"/>
      <c r="H308" s="109"/>
      <c r="I308" s="64"/>
      <c r="J308" s="64"/>
      <c r="K308" s="139"/>
      <c r="L308" s="139"/>
      <c r="M308" s="248"/>
      <c r="N308" s="638"/>
      <c r="O308" s="655"/>
      <c r="P308" s="234"/>
      <c r="Q308" s="186"/>
      <c r="R308" s="186"/>
      <c r="S308" s="49"/>
      <c r="W308" s="53"/>
      <c r="X308" s="53"/>
      <c r="Y308" s="32">
        <v>9348</v>
      </c>
      <c r="Z308" s="32"/>
      <c r="AA308" s="141"/>
      <c r="AB308" s="196"/>
      <c r="AC308" s="20"/>
      <c r="AD308" s="21"/>
      <c r="AE308" s="22"/>
      <c r="AF308" s="22"/>
      <c r="AG308" s="22"/>
      <c r="AH308" s="22"/>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row>
    <row r="309" spans="1:59" ht="12.75">
      <c r="A309" s="434">
        <v>152</v>
      </c>
      <c r="B309" s="466" t="s">
        <v>192</v>
      </c>
      <c r="C309" s="467" t="s">
        <v>193</v>
      </c>
      <c r="D309" s="669" t="str">
        <f>P</f>
        <v>. . .</v>
      </c>
      <c r="E309" s="432" t="s">
        <v>194</v>
      </c>
      <c r="F309" s="140"/>
      <c r="G309" s="108" t="str">
        <f>P</f>
        <v>. . .</v>
      </c>
      <c r="H309" s="109" t="str">
        <f>P</f>
        <v>. . .</v>
      </c>
      <c r="I309" s="64">
        <f>VFVASCIRAUTRE</f>
        <v>91.47</v>
      </c>
      <c r="J309" s="64" t="s">
        <v>195</v>
      </c>
      <c r="K309" s="139" t="s">
        <v>196</v>
      </c>
      <c r="L309" s="139"/>
      <c r="M309" s="248" t="s">
        <v>197</v>
      </c>
      <c r="N309" s="638"/>
      <c r="O309" s="655" t="str">
        <f>P</f>
        <v>. . .</v>
      </c>
      <c r="P309" s="234" t="str">
        <f>P</f>
        <v>. . .</v>
      </c>
      <c r="Q309" s="186">
        <f>TVAVASCIREAUTMETRO</f>
        <v>18.322080000000003</v>
      </c>
      <c r="R309" s="186">
        <f>TVAVASCIREAUTCORSE</f>
        <v>12.1524</v>
      </c>
      <c r="S309" s="69"/>
      <c r="W309" s="185">
        <v>5917</v>
      </c>
      <c r="X309" s="185"/>
      <c r="Y309" s="141"/>
      <c r="Z309" s="141"/>
      <c r="AA309" s="18"/>
      <c r="AB309" s="196"/>
      <c r="AC309" s="20"/>
      <c r="AD309" s="21"/>
      <c r="AE309" s="22"/>
      <c r="AF309" s="22"/>
      <c r="AG309" s="22"/>
      <c r="AH309" s="22"/>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row>
    <row r="310" spans="1:59" ht="12.75">
      <c r="A310" s="434">
        <v>153</v>
      </c>
      <c r="B310" s="466" t="s">
        <v>198</v>
      </c>
      <c r="C310" s="467" t="s">
        <v>199</v>
      </c>
      <c r="D310" s="669" t="str">
        <f>P</f>
        <v>. . .</v>
      </c>
      <c r="E310" s="432" t="s">
        <v>200</v>
      </c>
      <c r="F310" s="140"/>
      <c r="G310" s="108" t="str">
        <f>P</f>
        <v>. . .</v>
      </c>
      <c r="H310" s="109" t="str">
        <f>P</f>
        <v>. . .</v>
      </c>
      <c r="I310" s="64">
        <f>VFPARAFAUTRES</f>
        <v>60.98</v>
      </c>
      <c r="J310" s="64" t="s">
        <v>201</v>
      </c>
      <c r="K310" s="139" t="s">
        <v>202</v>
      </c>
      <c r="L310" s="139"/>
      <c r="M310" s="248" t="s">
        <v>203</v>
      </c>
      <c r="N310" s="638"/>
      <c r="O310" s="655" t="str">
        <f>P</f>
        <v>. . .</v>
      </c>
      <c r="P310" s="234" t="str">
        <f>P</f>
        <v>. . .</v>
      </c>
      <c r="Q310" s="186">
        <f>TVAPARAFAUTREMETRO</f>
        <v>12.21472</v>
      </c>
      <c r="R310" s="186">
        <f>TVAPARAFAUTRECORSE</f>
        <v>8.1016</v>
      </c>
      <c r="S310" s="49"/>
      <c r="W310" s="226">
        <v>5918</v>
      </c>
      <c r="X310" s="226"/>
      <c r="Y310" s="141"/>
      <c r="Z310" s="141"/>
      <c r="AA310" s="18"/>
      <c r="AB310" s="196"/>
      <c r="AC310" s="20"/>
      <c r="AD310" s="21"/>
      <c r="AE310" s="22"/>
      <c r="AF310" s="22"/>
      <c r="AG310" s="22"/>
      <c r="AH310" s="22"/>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row>
    <row r="311" spans="1:59" ht="12.75">
      <c r="A311" s="434"/>
      <c r="B311" s="466"/>
      <c r="C311" s="467" t="s">
        <v>204</v>
      </c>
      <c r="D311" s="669"/>
      <c r="E311" s="432"/>
      <c r="F311" s="140"/>
      <c r="G311" s="108"/>
      <c r="H311" s="109"/>
      <c r="I311" s="64"/>
      <c r="J311" s="64"/>
      <c r="K311" s="139"/>
      <c r="L311" s="139"/>
      <c r="M311" s="248"/>
      <c r="N311" s="638"/>
      <c r="O311" s="655"/>
      <c r="P311" s="234"/>
      <c r="Q311" s="186"/>
      <c r="R311" s="186"/>
      <c r="S311" s="156"/>
      <c r="T311" s="149"/>
      <c r="U311" s="150"/>
      <c r="V311" s="151"/>
      <c r="W311" s="152"/>
      <c r="X311" s="152"/>
      <c r="Y311" s="141"/>
      <c r="Z311" s="141"/>
      <c r="AA311" s="32"/>
      <c r="AB311" s="196"/>
      <c r="AC311" s="20"/>
      <c r="AD311" s="21"/>
      <c r="AE311" s="22"/>
      <c r="AF311" s="22"/>
      <c r="AG311" s="22"/>
      <c r="AH311" s="22"/>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row>
    <row r="312" spans="1:59" ht="12.75">
      <c r="A312" s="434"/>
      <c r="B312" s="466"/>
      <c r="C312" s="467" t="s">
        <v>205</v>
      </c>
      <c r="D312" s="669"/>
      <c r="E312" s="432"/>
      <c r="F312" s="140"/>
      <c r="G312" s="108"/>
      <c r="H312" s="109"/>
      <c r="I312" s="64"/>
      <c r="J312" s="64"/>
      <c r="K312" s="139"/>
      <c r="L312" s="139"/>
      <c r="M312" s="248"/>
      <c r="N312" s="638"/>
      <c r="O312" s="655"/>
      <c r="P312" s="234"/>
      <c r="Q312" s="186"/>
      <c r="R312" s="186"/>
      <c r="S312" s="156"/>
      <c r="T312" s="149"/>
      <c r="U312" s="150"/>
      <c r="V312" s="151"/>
      <c r="W312" s="152"/>
      <c r="X312" s="152"/>
      <c r="Y312" s="141">
        <v>9348</v>
      </c>
      <c r="Z312" s="141"/>
      <c r="AA312" s="141"/>
      <c r="AB312" s="196"/>
      <c r="AC312" s="20"/>
      <c r="AD312" s="21"/>
      <c r="AE312" s="22"/>
      <c r="AF312" s="22"/>
      <c r="AG312" s="22"/>
      <c r="AH312" s="22"/>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row>
    <row r="313" spans="1:59" ht="12.75">
      <c r="A313" s="434"/>
      <c r="B313" s="466"/>
      <c r="C313" s="467" t="s">
        <v>206</v>
      </c>
      <c r="D313" s="669"/>
      <c r="E313" s="432"/>
      <c r="F313" s="140"/>
      <c r="G313" s="108"/>
      <c r="H313" s="109"/>
      <c r="I313" s="64"/>
      <c r="J313" s="64"/>
      <c r="K313" s="139"/>
      <c r="L313" s="139"/>
      <c r="M313" s="248"/>
      <c r="N313" s="638"/>
      <c r="O313" s="655"/>
      <c r="P313" s="234"/>
      <c r="Q313" s="186"/>
      <c r="R313" s="186"/>
      <c r="S313" s="49"/>
      <c r="T313" s="149"/>
      <c r="U313" s="150"/>
      <c r="V313" s="151"/>
      <c r="W313" s="152"/>
      <c r="X313" s="152"/>
      <c r="Y313" s="141">
        <v>9348</v>
      </c>
      <c r="Z313" s="141"/>
      <c r="AA313" s="141"/>
      <c r="AB313" s="196"/>
      <c r="AC313" s="20"/>
      <c r="AD313" s="21"/>
      <c r="AE313" s="22"/>
      <c r="AF313" s="22"/>
      <c r="AG313" s="22"/>
      <c r="AH313" s="22"/>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row>
    <row r="314" spans="1:92" s="450" customFormat="1" ht="12.75">
      <c r="A314" s="434">
        <v>154</v>
      </c>
      <c r="B314" s="466" t="s">
        <v>207</v>
      </c>
      <c r="C314" s="467" t="s">
        <v>208</v>
      </c>
      <c r="D314" s="669" t="s">
        <v>209</v>
      </c>
      <c r="E314" s="432">
        <f>TEC27129099</f>
        <v>0.022</v>
      </c>
      <c r="F314" s="183"/>
      <c r="G314" s="108" t="s">
        <v>210</v>
      </c>
      <c r="H314" s="109" t="s">
        <v>211</v>
      </c>
      <c r="I314" s="64">
        <f>VFVASCIRAUTRE</f>
        <v>91.47</v>
      </c>
      <c r="J314" s="64" t="s">
        <v>212</v>
      </c>
      <c r="K314" s="482">
        <f>ROUND(I314*TEC27129099,2)</f>
        <v>2.01</v>
      </c>
      <c r="L314" s="483"/>
      <c r="M314" s="248" t="s">
        <v>213</v>
      </c>
      <c r="N314" s="638"/>
      <c r="O314" s="655" t="str">
        <f>P</f>
        <v>. . .</v>
      </c>
      <c r="P314" s="234" t="s">
        <v>214</v>
      </c>
      <c r="Q314" s="186">
        <f>TVAVASCIREAUTMETRO</f>
        <v>18.322080000000003</v>
      </c>
      <c r="R314" s="186">
        <f>TVAVASCIREAUTCORSE</f>
        <v>12.1524</v>
      </c>
      <c r="S314" s="49"/>
      <c r="T314" s="9"/>
      <c r="U314" s="10"/>
      <c r="V314" s="11"/>
      <c r="W314" s="157">
        <v>5917</v>
      </c>
      <c r="X314" s="157"/>
      <c r="Y314" s="141"/>
      <c r="Z314" s="141"/>
      <c r="AA314" s="141"/>
      <c r="AB314" s="196"/>
      <c r="AC314" s="20"/>
      <c r="AD314" s="21"/>
      <c r="AE314" s="22"/>
      <c r="AF314" s="22"/>
      <c r="AG314" s="22"/>
      <c r="AH314" s="22"/>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row>
    <row r="315" spans="1:59" ht="12.75">
      <c r="A315" s="434">
        <v>155</v>
      </c>
      <c r="B315" s="466" t="s">
        <v>215</v>
      </c>
      <c r="C315" s="467" t="s">
        <v>216</v>
      </c>
      <c r="D315" s="669" t="s">
        <v>217</v>
      </c>
      <c r="E315" s="432">
        <f>TEC27129099</f>
        <v>0.022</v>
      </c>
      <c r="F315" s="183"/>
      <c r="G315" s="108" t="s">
        <v>218</v>
      </c>
      <c r="H315" s="109" t="s">
        <v>219</v>
      </c>
      <c r="I315" s="64">
        <f>VFPARAFAUTRES</f>
        <v>60.98</v>
      </c>
      <c r="J315" s="64" t="s">
        <v>220</v>
      </c>
      <c r="K315" s="482">
        <f>ROUND(I315*TEC27129099,2)</f>
        <v>1.34</v>
      </c>
      <c r="L315" s="483"/>
      <c r="M315" s="248" t="s">
        <v>221</v>
      </c>
      <c r="N315" s="638"/>
      <c r="O315" s="655" t="str">
        <f>P</f>
        <v>. . .</v>
      </c>
      <c r="P315" s="234" t="s">
        <v>222</v>
      </c>
      <c r="Q315" s="186">
        <f>TVAPARAFAUTREMETRO</f>
        <v>12.21472</v>
      </c>
      <c r="R315" s="186">
        <f>TVAPARAFAUTRECORSE</f>
        <v>8.1016</v>
      </c>
      <c r="S315" s="165"/>
      <c r="W315" s="157">
        <v>5918</v>
      </c>
      <c r="X315" s="157"/>
      <c r="Y315" s="141">
        <v>9348</v>
      </c>
      <c r="Z315" s="141"/>
      <c r="AA315" s="141"/>
      <c r="AB315" s="196"/>
      <c r="AC315" s="20"/>
      <c r="AD315" s="112"/>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row>
    <row r="316" spans="1:59" ht="12.75">
      <c r="A316" s="434"/>
      <c r="B316" s="466"/>
      <c r="C316" s="467" t="s">
        <v>223</v>
      </c>
      <c r="D316" s="669"/>
      <c r="E316" s="432"/>
      <c r="F316" s="140"/>
      <c r="G316" s="108"/>
      <c r="H316" s="109"/>
      <c r="I316" s="64"/>
      <c r="J316" s="64"/>
      <c r="K316" s="482"/>
      <c r="L316" s="139"/>
      <c r="M316" s="248"/>
      <c r="N316" s="638"/>
      <c r="O316" s="655"/>
      <c r="P316" s="234"/>
      <c r="Q316" s="186"/>
      <c r="R316" s="186"/>
      <c r="S316" s="156"/>
      <c r="W316" s="152"/>
      <c r="X316" s="152"/>
      <c r="Y316" s="18">
        <v>9348</v>
      </c>
      <c r="Z316" s="18"/>
      <c r="AA316" s="141"/>
      <c r="AB316" s="196"/>
      <c r="AC316" s="20"/>
      <c r="AD316" s="112"/>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row>
    <row r="317" spans="1:59" ht="12.75">
      <c r="A317" s="434">
        <v>156</v>
      </c>
      <c r="B317" s="466" t="s">
        <v>224</v>
      </c>
      <c r="C317" s="467" t="s">
        <v>225</v>
      </c>
      <c r="D317" s="669" t="str">
        <f>P</f>
        <v>. . .</v>
      </c>
      <c r="E317" s="432">
        <f>TEC27129099</f>
        <v>0.022</v>
      </c>
      <c r="F317" s="140"/>
      <c r="G317" s="108" t="str">
        <f>P</f>
        <v>. . .</v>
      </c>
      <c r="H317" s="109" t="str">
        <f>P</f>
        <v>. . .</v>
      </c>
      <c r="I317" s="64">
        <f>VFVASCIRAUTRE</f>
        <v>91.47</v>
      </c>
      <c r="J317" s="64" t="s">
        <v>226</v>
      </c>
      <c r="K317" s="482">
        <f>ROUND(I317*TEC27129099,2)</f>
        <v>2.01</v>
      </c>
      <c r="L317" s="139"/>
      <c r="M317" s="248" t="s">
        <v>227</v>
      </c>
      <c r="N317" s="638"/>
      <c r="O317" s="655" t="str">
        <f>P</f>
        <v>. . .</v>
      </c>
      <c r="P317" s="234" t="str">
        <f>P</f>
        <v>. . .</v>
      </c>
      <c r="Q317" s="186">
        <f>TVAVASCIREAUTMETRO</f>
        <v>18.322080000000003</v>
      </c>
      <c r="R317" s="186">
        <f>TVAVASCIREAUTCORSE</f>
        <v>12.1524</v>
      </c>
      <c r="S317" s="156"/>
      <c r="W317" s="157">
        <v>5917</v>
      </c>
      <c r="X317" s="157"/>
      <c r="Y317" s="141"/>
      <c r="Z317" s="141"/>
      <c r="AA317" s="141"/>
      <c r="AB317" s="196"/>
      <c r="AC317" s="20"/>
      <c r="AD317" s="112"/>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row>
    <row r="318" spans="1:59" ht="12.75">
      <c r="A318" s="434">
        <v>157</v>
      </c>
      <c r="B318" s="466" t="s">
        <v>228</v>
      </c>
      <c r="C318" s="467" t="s">
        <v>229</v>
      </c>
      <c r="D318" s="669" t="s">
        <v>230</v>
      </c>
      <c r="E318" s="432">
        <f>TEC27129099</f>
        <v>0.022</v>
      </c>
      <c r="F318" s="140"/>
      <c r="G318" s="108" t="s">
        <v>231</v>
      </c>
      <c r="H318" s="109" t="s">
        <v>232</v>
      </c>
      <c r="I318" s="64">
        <f>VFPARAFAUTRES</f>
        <v>60.98</v>
      </c>
      <c r="J318" s="64" t="s">
        <v>233</v>
      </c>
      <c r="K318" s="482">
        <f>ROUND(I318*TEC27129099,2)</f>
        <v>1.34</v>
      </c>
      <c r="L318" s="139"/>
      <c r="M318" s="248" t="s">
        <v>234</v>
      </c>
      <c r="N318" s="638"/>
      <c r="O318" s="655" t="str">
        <f>P</f>
        <v>. . .</v>
      </c>
      <c r="P318" s="234" t="s">
        <v>235</v>
      </c>
      <c r="Q318" s="186">
        <f>TVAPARAFAUTREMETRO</f>
        <v>12.21472</v>
      </c>
      <c r="R318" s="186">
        <f>TVAPARAFAUTRECORSE</f>
        <v>8.1016</v>
      </c>
      <c r="S318" s="156"/>
      <c r="W318" s="185">
        <v>5918</v>
      </c>
      <c r="X318" s="185"/>
      <c r="Y318" s="141"/>
      <c r="Z318" s="141"/>
      <c r="AA318" s="141"/>
      <c r="AB318" s="196"/>
      <c r="AC318" s="20"/>
      <c r="AD318" s="112"/>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row>
    <row r="319" spans="1:92" s="429" customFormat="1" ht="13.5" thickBot="1">
      <c r="A319" s="458"/>
      <c r="B319" s="475"/>
      <c r="C319" s="475"/>
      <c r="D319" s="671"/>
      <c r="E319" s="689"/>
      <c r="F319" s="690"/>
      <c r="G319" s="192"/>
      <c r="H319" s="192"/>
      <c r="I319" s="708"/>
      <c r="J319" s="708"/>
      <c r="K319" s="342"/>
      <c r="L319" s="193"/>
      <c r="M319" s="194"/>
      <c r="N319" s="484"/>
      <c r="O319" s="656"/>
      <c r="P319" s="644"/>
      <c r="Q319" s="343"/>
      <c r="R319" s="343"/>
      <c r="S319" s="156"/>
      <c r="T319" s="149"/>
      <c r="U319" s="150"/>
      <c r="V319" s="151"/>
      <c r="W319" s="152"/>
      <c r="X319" s="152"/>
      <c r="Y319" s="141"/>
      <c r="Z319" s="141"/>
      <c r="AA319" s="18"/>
      <c r="AB319" s="196"/>
      <c r="AC319" s="20"/>
      <c r="AD319" s="112"/>
      <c r="AE319" s="31"/>
      <c r="AF319" s="438"/>
      <c r="AG319" s="438"/>
      <c r="AH319" s="438"/>
      <c r="AI319" s="438"/>
      <c r="AJ319" s="438"/>
      <c r="AK319" s="438"/>
      <c r="AL319" s="438"/>
      <c r="AM319" s="438"/>
      <c r="AN319" s="438"/>
      <c r="AO319" s="438"/>
      <c r="AP319" s="438"/>
      <c r="AQ319" s="438"/>
      <c r="AR319" s="438"/>
      <c r="AS319" s="438"/>
      <c r="AT319" s="438"/>
      <c r="AU319" s="438"/>
      <c r="AV319" s="438"/>
      <c r="AW319" s="438"/>
      <c r="AX319" s="438"/>
      <c r="AY319" s="438"/>
      <c r="AZ319" s="438"/>
      <c r="BA319" s="438"/>
      <c r="BB319" s="438"/>
      <c r="BC319" s="438"/>
      <c r="BD319" s="438"/>
      <c r="BE319" s="438"/>
      <c r="BF319" s="438"/>
      <c r="BG319" s="438"/>
      <c r="BH319" s="428"/>
      <c r="BI319" s="428"/>
      <c r="BJ319" s="428"/>
      <c r="BK319" s="428"/>
      <c r="BL319" s="428"/>
      <c r="BM319" s="428"/>
      <c r="BN319" s="428"/>
      <c r="BO319" s="428"/>
      <c r="BP319" s="428"/>
      <c r="BQ319" s="428"/>
      <c r="BR319" s="428"/>
      <c r="BS319" s="428"/>
      <c r="BT319" s="428"/>
      <c r="BU319" s="428"/>
      <c r="BV319" s="428"/>
      <c r="BW319" s="428"/>
      <c r="BX319" s="428"/>
      <c r="BY319" s="428"/>
      <c r="BZ319" s="428"/>
      <c r="CA319" s="428"/>
      <c r="CB319" s="428"/>
      <c r="CC319" s="428"/>
      <c r="CD319" s="428"/>
      <c r="CE319" s="428"/>
      <c r="CF319" s="428"/>
      <c r="CG319" s="428"/>
      <c r="CH319" s="428"/>
      <c r="CI319" s="428"/>
      <c r="CJ319" s="428"/>
      <c r="CK319" s="428"/>
      <c r="CL319" s="428"/>
      <c r="CM319" s="428"/>
      <c r="CN319" s="428"/>
    </row>
    <row r="320" spans="1:59" ht="12.75">
      <c r="A320" s="434"/>
      <c r="B320" s="466"/>
      <c r="C320" s="485" t="s">
        <v>236</v>
      </c>
      <c r="D320" s="669"/>
      <c r="E320" s="432"/>
      <c r="F320" s="140"/>
      <c r="G320" s="108"/>
      <c r="H320" s="109"/>
      <c r="I320" s="64"/>
      <c r="J320" s="64"/>
      <c r="K320" s="202"/>
      <c r="L320" s="139"/>
      <c r="M320" s="248"/>
      <c r="N320" s="638"/>
      <c r="O320" s="655"/>
      <c r="P320" s="234"/>
      <c r="Q320" s="186"/>
      <c r="R320" s="186"/>
      <c r="S320" s="156"/>
      <c r="T320" s="149"/>
      <c r="U320" s="150"/>
      <c r="V320" s="151"/>
      <c r="W320" s="152"/>
      <c r="X320" s="152"/>
      <c r="Y320" s="141"/>
      <c r="Z320" s="141"/>
      <c r="AA320" s="141"/>
      <c r="AB320" s="196"/>
      <c r="AC320" s="20"/>
      <c r="AD320" s="112"/>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row>
    <row r="321" spans="1:59" ht="12.75">
      <c r="A321" s="434"/>
      <c r="B321" s="466"/>
      <c r="C321" s="485" t="s">
        <v>237</v>
      </c>
      <c r="D321" s="669"/>
      <c r="E321" s="432"/>
      <c r="F321" s="140"/>
      <c r="G321" s="108"/>
      <c r="H321" s="109"/>
      <c r="I321" s="64"/>
      <c r="J321" s="64"/>
      <c r="K321" s="202"/>
      <c r="L321" s="139"/>
      <c r="M321" s="248"/>
      <c r="N321" s="638"/>
      <c r="O321" s="655"/>
      <c r="P321" s="234"/>
      <c r="Q321" s="186"/>
      <c r="R321" s="186"/>
      <c r="S321" s="156"/>
      <c r="T321" s="149"/>
      <c r="U321" s="150"/>
      <c r="V321" s="151"/>
      <c r="W321" s="152"/>
      <c r="X321" s="152"/>
      <c r="Y321" s="18">
        <v>9348</v>
      </c>
      <c r="Z321" s="18"/>
      <c r="AA321" s="141"/>
      <c r="AB321" s="196"/>
      <c r="AC321" s="20"/>
      <c r="AD321" s="112"/>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row>
    <row r="322" spans="1:59" ht="12.75">
      <c r="A322" s="434"/>
      <c r="B322" s="466"/>
      <c r="C322" s="467"/>
      <c r="D322" s="669"/>
      <c r="E322" s="432"/>
      <c r="F322" s="140"/>
      <c r="G322" s="108"/>
      <c r="H322" s="109"/>
      <c r="I322" s="64"/>
      <c r="J322" s="64"/>
      <c r="K322" s="202"/>
      <c r="L322" s="139"/>
      <c r="M322" s="248"/>
      <c r="N322" s="638"/>
      <c r="O322" s="655"/>
      <c r="P322" s="234"/>
      <c r="Q322" s="186"/>
      <c r="R322" s="186"/>
      <c r="S322" s="156"/>
      <c r="T322" s="149"/>
      <c r="U322" s="150"/>
      <c r="V322" s="151"/>
      <c r="W322" s="152"/>
      <c r="X322" s="152"/>
      <c r="Y322" s="18"/>
      <c r="Z322" s="18"/>
      <c r="AA322" s="141"/>
      <c r="AB322" s="196"/>
      <c r="AC322" s="20"/>
      <c r="AD322" s="112"/>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row>
    <row r="323" spans="1:59" ht="12.75">
      <c r="A323" s="434">
        <v>158</v>
      </c>
      <c r="B323" s="466" t="s">
        <v>238</v>
      </c>
      <c r="C323" s="471" t="s">
        <v>239</v>
      </c>
      <c r="D323" s="669" t="str">
        <f>P</f>
        <v>. . .</v>
      </c>
      <c r="E323" s="432" t="s">
        <v>240</v>
      </c>
      <c r="F323" s="140"/>
      <c r="G323" s="108" t="str">
        <f>P</f>
        <v>. . .</v>
      </c>
      <c r="H323" s="109" t="str">
        <f>P</f>
        <v>. . .</v>
      </c>
      <c r="I323" s="532">
        <f>VFFHS</f>
        <v>19.27</v>
      </c>
      <c r="J323" s="64" t="s">
        <v>241</v>
      </c>
      <c r="K323" s="202" t="s">
        <v>242</v>
      </c>
      <c r="L323" s="139"/>
      <c r="M323" s="248" t="s">
        <v>243</v>
      </c>
      <c r="N323" s="638"/>
      <c r="O323" s="655" t="str">
        <f>P</f>
        <v>. . .</v>
      </c>
      <c r="P323" s="234" t="s">
        <v>244</v>
      </c>
      <c r="Q323" s="186">
        <f>TVAFLHTSMETRO</f>
        <v>4.270840000000001</v>
      </c>
      <c r="R323" s="186">
        <f>TVAFLHTSCORSE</f>
        <v>2.8327000000000004</v>
      </c>
      <c r="S323" s="156"/>
      <c r="W323" s="185">
        <v>5902</v>
      </c>
      <c r="X323" s="185"/>
      <c r="Y323" s="141">
        <v>9348</v>
      </c>
      <c r="Z323" s="141"/>
      <c r="AA323" s="141"/>
      <c r="AB323" s="196"/>
      <c r="AC323" s="20"/>
      <c r="AD323" s="112"/>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row>
    <row r="324" spans="1:59" ht="12.75">
      <c r="A324" s="434"/>
      <c r="B324" s="468"/>
      <c r="C324" s="478"/>
      <c r="D324" s="673"/>
      <c r="E324" s="693"/>
      <c r="F324" s="694"/>
      <c r="G324" s="213"/>
      <c r="H324" s="214"/>
      <c r="I324" s="709"/>
      <c r="J324" s="709"/>
      <c r="K324" s="486"/>
      <c r="L324" s="215"/>
      <c r="M324" s="248"/>
      <c r="N324" s="346"/>
      <c r="O324" s="658"/>
      <c r="P324" s="650"/>
      <c r="Q324" s="186"/>
      <c r="R324" s="186"/>
      <c r="S324" s="156"/>
      <c r="W324" s="53"/>
      <c r="X324" s="53"/>
      <c r="Y324" s="315"/>
      <c r="Z324" s="315"/>
      <c r="AA324" s="18"/>
      <c r="AB324" s="196"/>
      <c r="AC324" s="20"/>
      <c r="AD324" s="112"/>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row>
    <row r="325" spans="1:59" ht="12.75">
      <c r="A325" s="434">
        <v>159</v>
      </c>
      <c r="B325" s="466" t="s">
        <v>245</v>
      </c>
      <c r="C325" s="471" t="s">
        <v>246</v>
      </c>
      <c r="D325" s="669" t="str">
        <f>P</f>
        <v>. . .</v>
      </c>
      <c r="E325" s="432" t="s">
        <v>247</v>
      </c>
      <c r="F325" s="140"/>
      <c r="G325" s="108" t="str">
        <f>P</f>
        <v>. . .</v>
      </c>
      <c r="H325" s="109" t="str">
        <f>P</f>
        <v>. . .</v>
      </c>
      <c r="I325" s="64" t="str">
        <f>R</f>
        <v>Réelle</v>
      </c>
      <c r="J325" s="64" t="s">
        <v>248</v>
      </c>
      <c r="K325" s="202" t="s">
        <v>249</v>
      </c>
      <c r="L325" s="139"/>
      <c r="M325" s="248" t="s">
        <v>250</v>
      </c>
      <c r="N325" s="638"/>
      <c r="O325" s="655" t="str">
        <f>P</f>
        <v>. . .</v>
      </c>
      <c r="P325" s="234" t="s">
        <v>251</v>
      </c>
      <c r="Q325" s="186" t="str">
        <f>VI</f>
        <v>(25)</v>
      </c>
      <c r="R325" s="186" t="str">
        <f>VI</f>
        <v>(25)</v>
      </c>
      <c r="S325" s="156"/>
      <c r="W325" s="157" t="s">
        <v>252</v>
      </c>
      <c r="X325" s="157"/>
      <c r="Y325" s="141"/>
      <c r="Z325" s="141"/>
      <c r="AA325" s="141"/>
      <c r="AB325" s="196"/>
      <c r="AC325" s="20"/>
      <c r="AD325" s="112"/>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row>
    <row r="326" spans="1:59" ht="12.75">
      <c r="A326" s="434"/>
      <c r="B326" s="466"/>
      <c r="C326" s="481"/>
      <c r="D326" s="669"/>
      <c r="E326" s="432"/>
      <c r="F326" s="140"/>
      <c r="G326" s="108"/>
      <c r="H326" s="109"/>
      <c r="I326" s="64"/>
      <c r="J326" s="64"/>
      <c r="K326" s="202"/>
      <c r="L326" s="139"/>
      <c r="M326" s="248"/>
      <c r="N326" s="638"/>
      <c r="O326" s="655"/>
      <c r="P326" s="234"/>
      <c r="Q326" s="186"/>
      <c r="R326" s="186"/>
      <c r="S326" s="156"/>
      <c r="T326" s="317"/>
      <c r="U326" s="318"/>
      <c r="V326" s="319"/>
      <c r="W326" s="322"/>
      <c r="X326" s="322"/>
      <c r="Y326" s="141"/>
      <c r="Z326" s="141"/>
      <c r="AA326" s="315"/>
      <c r="AB326" s="196"/>
      <c r="AC326" s="20"/>
      <c r="AD326" s="112"/>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row>
    <row r="327" spans="1:59" ht="12.75">
      <c r="A327" s="434"/>
      <c r="B327" s="466"/>
      <c r="C327" s="164" t="s">
        <v>253</v>
      </c>
      <c r="D327" s="669"/>
      <c r="E327" s="432"/>
      <c r="F327" s="140"/>
      <c r="G327" s="108"/>
      <c r="H327" s="109"/>
      <c r="I327" s="64"/>
      <c r="J327" s="64"/>
      <c r="K327" s="202"/>
      <c r="L327" s="139"/>
      <c r="M327" s="248"/>
      <c r="N327" s="638"/>
      <c r="O327" s="655"/>
      <c r="P327" s="234"/>
      <c r="Q327" s="186"/>
      <c r="R327" s="186"/>
      <c r="S327" s="49"/>
      <c r="T327" s="149"/>
      <c r="U327" s="150"/>
      <c r="V327" s="151"/>
      <c r="W327" s="152"/>
      <c r="X327" s="152"/>
      <c r="Y327" s="141"/>
      <c r="Z327" s="141"/>
      <c r="AA327" s="141"/>
      <c r="AB327" s="196"/>
      <c r="AC327" s="20"/>
      <c r="AD327" s="112"/>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row>
    <row r="328" spans="1:59" ht="12.75">
      <c r="A328" s="434">
        <v>160</v>
      </c>
      <c r="B328" s="466" t="s">
        <v>9</v>
      </c>
      <c r="C328" s="489" t="s">
        <v>254</v>
      </c>
      <c r="D328" s="669" t="s">
        <v>256</v>
      </c>
      <c r="E328" s="432" t="s">
        <v>257</v>
      </c>
      <c r="F328" s="140"/>
      <c r="G328" s="108"/>
      <c r="H328" s="109"/>
      <c r="I328" s="64" t="str">
        <f>R</f>
        <v>Réelle</v>
      </c>
      <c r="J328" s="64" t="s">
        <v>255</v>
      </c>
      <c r="K328" s="202" t="s">
        <v>258</v>
      </c>
      <c r="L328" s="139"/>
      <c r="M328" s="248" t="str">
        <f>"(9)"</f>
        <v>(9)</v>
      </c>
      <c r="N328" s="184"/>
      <c r="O328" s="532" t="str">
        <f>P</f>
        <v>. . .</v>
      </c>
      <c r="P328" s="234" t="s">
        <v>259</v>
      </c>
      <c r="Q328" s="186" t="str">
        <f>VI</f>
        <v>(25)</v>
      </c>
      <c r="R328" s="186" t="str">
        <f>VI</f>
        <v>(25)</v>
      </c>
      <c r="S328" s="461"/>
      <c r="T328" s="444"/>
      <c r="U328" s="445"/>
      <c r="V328" s="446"/>
      <c r="W328" s="152" t="str">
        <f>t</f>
        <v>TVO</v>
      </c>
      <c r="X328" s="152"/>
      <c r="Y328" s="141"/>
      <c r="Z328" s="141"/>
      <c r="AA328" s="141"/>
      <c r="AB328" s="196"/>
      <c r="AC328" s="20"/>
      <c r="AD328" s="112"/>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row>
    <row r="329" spans="1:59" s="7" customFormat="1" ht="12.75">
      <c r="A329" s="434"/>
      <c r="B329" s="466"/>
      <c r="C329" s="489" t="s">
        <v>260</v>
      </c>
      <c r="D329" s="669"/>
      <c r="E329" s="432"/>
      <c r="F329" s="140"/>
      <c r="G329" s="108"/>
      <c r="H329" s="109"/>
      <c r="I329" s="64"/>
      <c r="J329" s="64"/>
      <c r="K329" s="202"/>
      <c r="L329" s="139"/>
      <c r="M329" s="248"/>
      <c r="N329" s="638"/>
      <c r="O329" s="655"/>
      <c r="P329" s="234"/>
      <c r="Q329" s="186"/>
      <c r="R329" s="186"/>
      <c r="S329" s="156"/>
      <c r="T329" s="70"/>
      <c r="U329" s="71"/>
      <c r="V329" s="72"/>
      <c r="W329" s="73"/>
      <c r="X329" s="73"/>
      <c r="Y329" s="141"/>
      <c r="Z329" s="141"/>
      <c r="AA329" s="32"/>
      <c r="AB329" s="196"/>
      <c r="AC329" s="20"/>
      <c r="AD329" s="112"/>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row>
    <row r="330" spans="1:59" ht="12.75">
      <c r="A330" s="434">
        <v>161</v>
      </c>
      <c r="B330" s="466" t="s">
        <v>10</v>
      </c>
      <c r="C330" s="489" t="s">
        <v>261</v>
      </c>
      <c r="D330" s="669" t="s">
        <v>209</v>
      </c>
      <c r="E330" s="432" t="s">
        <v>26</v>
      </c>
      <c r="F330" s="140"/>
      <c r="G330" s="108"/>
      <c r="H330" s="109"/>
      <c r="I330" s="64" t="str">
        <f>R</f>
        <v>Réelle</v>
      </c>
      <c r="J330" s="64" t="s">
        <v>255</v>
      </c>
      <c r="K330" s="202"/>
      <c r="L330" s="139"/>
      <c r="M330" s="248" t="str">
        <f>"(9)"</f>
        <v>(9)</v>
      </c>
      <c r="N330" s="638"/>
      <c r="O330" s="532" t="str">
        <f>P</f>
        <v>. . .</v>
      </c>
      <c r="P330" s="532" t="str">
        <f>P</f>
        <v>. . .</v>
      </c>
      <c r="Q330" s="734" t="str">
        <f>VI</f>
        <v>(25)</v>
      </c>
      <c r="R330" s="186" t="str">
        <f>VI</f>
        <v>(25)</v>
      </c>
      <c r="S330" s="156"/>
      <c r="T330" s="149"/>
      <c r="U330" s="150"/>
      <c r="V330" s="151"/>
      <c r="W330" s="152" t="s">
        <v>252</v>
      </c>
      <c r="X330" s="152"/>
      <c r="Y330" s="141"/>
      <c r="Z330" s="141"/>
      <c r="AA330" s="32"/>
      <c r="AB330" s="196"/>
      <c r="AC330" s="20"/>
      <c r="AD330" s="112"/>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row>
    <row r="331" spans="1:59" ht="12.75">
      <c r="A331" s="434">
        <v>162</v>
      </c>
      <c r="B331" s="466" t="s">
        <v>262</v>
      </c>
      <c r="C331" s="489" t="s">
        <v>263</v>
      </c>
      <c r="D331" s="669" t="s">
        <v>264</v>
      </c>
      <c r="E331" s="432" t="s">
        <v>265</v>
      </c>
      <c r="F331" s="140"/>
      <c r="G331" s="108"/>
      <c r="H331" s="109"/>
      <c r="I331" s="64" t="str">
        <f>R</f>
        <v>Réelle</v>
      </c>
      <c r="J331" s="64" t="s">
        <v>266</v>
      </c>
      <c r="K331" s="202" t="s">
        <v>267</v>
      </c>
      <c r="L331" s="139"/>
      <c r="M331" s="248" t="str">
        <f>"(9)"</f>
        <v>(9)</v>
      </c>
      <c r="N331" s="638"/>
      <c r="O331" s="655" t="str">
        <f>P</f>
        <v>. . .</v>
      </c>
      <c r="P331" s="234" t="s">
        <v>268</v>
      </c>
      <c r="Q331" s="186" t="str">
        <f>VI</f>
        <v>(25)</v>
      </c>
      <c r="R331" s="186" t="str">
        <f>VI</f>
        <v>(25)</v>
      </c>
      <c r="S331" s="165"/>
      <c r="W331" s="152" t="str">
        <f>t</f>
        <v>TVO</v>
      </c>
      <c r="X331" s="152"/>
      <c r="Y331" s="141">
        <v>4004</v>
      </c>
      <c r="Z331" s="141">
        <v>9348</v>
      </c>
      <c r="AA331" s="141">
        <v>9345</v>
      </c>
      <c r="AB331" s="196"/>
      <c r="AC331" s="20"/>
      <c r="AD331" s="112"/>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row>
    <row r="332" spans="1:59" ht="12.75">
      <c r="A332" s="434"/>
      <c r="B332" s="466"/>
      <c r="C332" s="489" t="s">
        <v>269</v>
      </c>
      <c r="D332" s="669"/>
      <c r="E332" s="432"/>
      <c r="F332" s="140"/>
      <c r="G332" s="108"/>
      <c r="H332" s="109"/>
      <c r="I332" s="64"/>
      <c r="J332" s="64"/>
      <c r="K332" s="202"/>
      <c r="L332" s="139"/>
      <c r="M332" s="248"/>
      <c r="N332" s="638"/>
      <c r="O332" s="655"/>
      <c r="P332" s="234"/>
      <c r="Q332" s="186"/>
      <c r="R332" s="186"/>
      <c r="S332" s="156"/>
      <c r="W332" s="73"/>
      <c r="X332" s="73"/>
      <c r="Y332" s="141"/>
      <c r="Z332" s="141"/>
      <c r="AA332" s="141"/>
      <c r="AB332" s="196"/>
      <c r="AC332" s="20"/>
      <c r="AD332" s="112"/>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row>
    <row r="333" spans="1:92" s="450" customFormat="1" ht="12.75">
      <c r="A333" s="434">
        <v>163</v>
      </c>
      <c r="B333" s="466" t="s">
        <v>270</v>
      </c>
      <c r="C333" s="489" t="s">
        <v>271</v>
      </c>
      <c r="D333" s="669" t="s">
        <v>272</v>
      </c>
      <c r="E333" s="432" t="s">
        <v>273</v>
      </c>
      <c r="F333" s="140"/>
      <c r="G333" s="108"/>
      <c r="H333" s="109"/>
      <c r="I333" s="64" t="str">
        <f>R</f>
        <v>Réelle</v>
      </c>
      <c r="J333" s="64" t="s">
        <v>274</v>
      </c>
      <c r="K333" s="202" t="s">
        <v>275</v>
      </c>
      <c r="L333" s="139"/>
      <c r="M333" s="248" t="str">
        <f>"(9)"</f>
        <v>(9)</v>
      </c>
      <c r="N333" s="638"/>
      <c r="O333" s="655" t="str">
        <f>P</f>
        <v>. . .</v>
      </c>
      <c r="P333" s="234" t="s">
        <v>276</v>
      </c>
      <c r="Q333" s="186" t="str">
        <f>VI</f>
        <v>(25)</v>
      </c>
      <c r="R333" s="186" t="str">
        <f>VI</f>
        <v>(25)</v>
      </c>
      <c r="S333" s="165"/>
      <c r="T333" s="9"/>
      <c r="U333" s="10"/>
      <c r="V333" s="11"/>
      <c r="W333" s="152" t="str">
        <f>t</f>
        <v>TVO</v>
      </c>
      <c r="X333" s="152"/>
      <c r="Y333" s="141">
        <v>4004</v>
      </c>
      <c r="Z333" s="141">
        <v>9348</v>
      </c>
      <c r="AA333" s="32">
        <v>9345</v>
      </c>
      <c r="AB333" s="196"/>
      <c r="AC333" s="20"/>
      <c r="AD333" s="112"/>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row>
    <row r="334" spans="1:59" ht="12.75">
      <c r="A334" s="434">
        <v>164</v>
      </c>
      <c r="B334" s="466" t="s">
        <v>277</v>
      </c>
      <c r="C334" s="489" t="s">
        <v>278</v>
      </c>
      <c r="D334" s="669" t="s">
        <v>279</v>
      </c>
      <c r="E334" s="432" t="s">
        <v>280</v>
      </c>
      <c r="F334" s="140"/>
      <c r="G334" s="108"/>
      <c r="H334" s="109"/>
      <c r="I334" s="64" t="str">
        <f>R</f>
        <v>Réelle</v>
      </c>
      <c r="J334" s="64" t="s">
        <v>281</v>
      </c>
      <c r="K334" s="202" t="s">
        <v>282</v>
      </c>
      <c r="L334" s="139"/>
      <c r="M334" s="248" t="str">
        <f>"(9)"</f>
        <v>(9)</v>
      </c>
      <c r="N334" s="638"/>
      <c r="O334" s="655" t="str">
        <f>P</f>
        <v>. . .</v>
      </c>
      <c r="P334" s="234" t="s">
        <v>283</v>
      </c>
      <c r="Q334" s="186" t="str">
        <f>VI</f>
        <v>(25)</v>
      </c>
      <c r="R334" s="186" t="str">
        <f>VI</f>
        <v>(25)</v>
      </c>
      <c r="S334" s="165"/>
      <c r="W334" s="152" t="str">
        <f>t</f>
        <v>TVO</v>
      </c>
      <c r="X334" s="152"/>
      <c r="Y334" s="141">
        <v>4004</v>
      </c>
      <c r="Z334" s="141">
        <v>9348</v>
      </c>
      <c r="AA334" s="141">
        <v>9345</v>
      </c>
      <c r="AB334" s="196"/>
      <c r="AC334" s="20"/>
      <c r="AD334" s="112"/>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row>
    <row r="335" spans="1:59" ht="12.75">
      <c r="A335" s="434"/>
      <c r="B335" s="466"/>
      <c r="C335" s="489" t="s">
        <v>284</v>
      </c>
      <c r="D335" s="669"/>
      <c r="E335" s="432"/>
      <c r="F335" s="140"/>
      <c r="G335" s="108"/>
      <c r="H335" s="109"/>
      <c r="I335" s="64"/>
      <c r="J335" s="64"/>
      <c r="K335" s="202"/>
      <c r="L335" s="139"/>
      <c r="M335" s="248"/>
      <c r="N335" s="638"/>
      <c r="O335" s="655"/>
      <c r="P335" s="234"/>
      <c r="Q335" s="186"/>
      <c r="R335" s="186"/>
      <c r="S335" s="156"/>
      <c r="W335" s="73"/>
      <c r="X335" s="73"/>
      <c r="Y335" s="141"/>
      <c r="Z335" s="141"/>
      <c r="AA335" s="141"/>
      <c r="AB335" s="196"/>
      <c r="AC335" s="20"/>
      <c r="AD335" s="112"/>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row>
    <row r="336" spans="1:59" ht="12.75">
      <c r="A336" s="434">
        <v>165</v>
      </c>
      <c r="B336" s="466" t="s">
        <v>285</v>
      </c>
      <c r="C336" s="489" t="s">
        <v>286</v>
      </c>
      <c r="D336" s="669" t="s">
        <v>287</v>
      </c>
      <c r="E336" s="432" t="s">
        <v>288</v>
      </c>
      <c r="F336" s="140"/>
      <c r="G336" s="108"/>
      <c r="H336" s="109"/>
      <c r="I336" s="64" t="str">
        <f>R</f>
        <v>Réelle</v>
      </c>
      <c r="J336" s="64" t="s">
        <v>289</v>
      </c>
      <c r="K336" s="202" t="s">
        <v>290</v>
      </c>
      <c r="L336" s="139"/>
      <c r="M336" s="248" t="str">
        <f>"(9)"</f>
        <v>(9)</v>
      </c>
      <c r="N336" s="638"/>
      <c r="O336" s="655" t="str">
        <f>P</f>
        <v>. . .</v>
      </c>
      <c r="P336" s="234" t="s">
        <v>291</v>
      </c>
      <c r="Q336" s="186" t="str">
        <f aca="true" t="shared" si="5" ref="Q336:R338">VI</f>
        <v>(25)</v>
      </c>
      <c r="R336" s="186" t="str">
        <f t="shared" si="5"/>
        <v>(25)</v>
      </c>
      <c r="S336" s="165"/>
      <c r="W336" s="152" t="str">
        <f>t</f>
        <v>TVO</v>
      </c>
      <c r="X336" s="152"/>
      <c r="Y336" s="141">
        <v>4004</v>
      </c>
      <c r="Z336" s="141">
        <v>9348</v>
      </c>
      <c r="AA336" s="141">
        <v>9345</v>
      </c>
      <c r="AB336" s="196"/>
      <c r="AC336" s="20"/>
      <c r="AD336" s="112"/>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row>
    <row r="337" spans="1:59" ht="12.75">
      <c r="A337" s="434">
        <v>166</v>
      </c>
      <c r="B337" s="466" t="s">
        <v>292</v>
      </c>
      <c r="C337" s="489" t="s">
        <v>293</v>
      </c>
      <c r="D337" s="669" t="s">
        <v>294</v>
      </c>
      <c r="E337" s="432" t="s">
        <v>295</v>
      </c>
      <c r="F337" s="140"/>
      <c r="G337" s="108"/>
      <c r="H337" s="109"/>
      <c r="I337" s="64" t="str">
        <f>R</f>
        <v>Réelle</v>
      </c>
      <c r="J337" s="64" t="s">
        <v>296</v>
      </c>
      <c r="K337" s="202" t="s">
        <v>297</v>
      </c>
      <c r="L337" s="139"/>
      <c r="M337" s="248" t="str">
        <f>"(9)"</f>
        <v>(9)</v>
      </c>
      <c r="N337" s="638"/>
      <c r="O337" s="655" t="str">
        <f>P</f>
        <v>. . .</v>
      </c>
      <c r="P337" s="234" t="s">
        <v>298</v>
      </c>
      <c r="Q337" s="186" t="str">
        <f t="shared" si="5"/>
        <v>(25)</v>
      </c>
      <c r="R337" s="186" t="str">
        <f t="shared" si="5"/>
        <v>(25)</v>
      </c>
      <c r="S337" s="165"/>
      <c r="W337" s="152" t="str">
        <f>t</f>
        <v>TVO</v>
      </c>
      <c r="X337" s="152"/>
      <c r="Y337" s="141">
        <v>4004</v>
      </c>
      <c r="Z337" s="141">
        <v>9348</v>
      </c>
      <c r="AA337" s="141">
        <v>9345</v>
      </c>
      <c r="AB337" s="196"/>
      <c r="AC337" s="20"/>
      <c r="AD337" s="112"/>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row>
    <row r="338" spans="1:59" ht="12.75">
      <c r="A338" s="434">
        <v>167</v>
      </c>
      <c r="B338" s="466" t="s">
        <v>299</v>
      </c>
      <c r="C338" s="489" t="s">
        <v>300</v>
      </c>
      <c r="D338" s="669" t="s">
        <v>301</v>
      </c>
      <c r="E338" s="432" t="s">
        <v>302</v>
      </c>
      <c r="F338" s="140"/>
      <c r="G338" s="108"/>
      <c r="H338" s="109"/>
      <c r="I338" s="64" t="str">
        <f>R</f>
        <v>Réelle</v>
      </c>
      <c r="J338" s="64" t="s">
        <v>303</v>
      </c>
      <c r="K338" s="202" t="s">
        <v>304</v>
      </c>
      <c r="L338" s="139"/>
      <c r="M338" s="248" t="str">
        <f>"(9)"</f>
        <v>(9)</v>
      </c>
      <c r="N338" s="638"/>
      <c r="O338" s="655" t="str">
        <f>P</f>
        <v>. . .</v>
      </c>
      <c r="P338" s="234" t="s">
        <v>305</v>
      </c>
      <c r="Q338" s="186" t="str">
        <f t="shared" si="5"/>
        <v>(25)</v>
      </c>
      <c r="R338" s="186" t="str">
        <f t="shared" si="5"/>
        <v>(25)</v>
      </c>
      <c r="S338" s="156"/>
      <c r="W338" s="152" t="str">
        <f>t</f>
        <v>TVO</v>
      </c>
      <c r="X338" s="152"/>
      <c r="Y338" s="141">
        <v>4004</v>
      </c>
      <c r="Z338" s="141">
        <v>9348</v>
      </c>
      <c r="AA338" s="32">
        <v>9345</v>
      </c>
      <c r="AB338" s="196"/>
      <c r="AC338" s="20"/>
      <c r="AD338" s="112"/>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row>
    <row r="339" spans="1:197" s="429" customFormat="1" ht="13.5" thickBot="1">
      <c r="A339" s="458"/>
      <c r="B339" s="474"/>
      <c r="C339" s="490"/>
      <c r="D339" s="671"/>
      <c r="E339" s="689"/>
      <c r="F339" s="690"/>
      <c r="G339" s="191"/>
      <c r="H339" s="192"/>
      <c r="I339" s="708"/>
      <c r="J339" s="708"/>
      <c r="K339" s="491"/>
      <c r="L339" s="193"/>
      <c r="M339" s="194"/>
      <c r="N339" s="641"/>
      <c r="O339" s="662"/>
      <c r="P339" s="644"/>
      <c r="Q339" s="343"/>
      <c r="R339" s="343"/>
      <c r="S339" s="165"/>
      <c r="T339" s="70"/>
      <c r="U339" s="71"/>
      <c r="V339" s="72"/>
      <c r="W339" s="73"/>
      <c r="X339" s="73"/>
      <c r="Y339" s="141"/>
      <c r="Z339" s="141"/>
      <c r="AA339" s="141"/>
      <c r="AB339" s="196"/>
      <c r="AC339" s="20"/>
      <c r="AD339" s="112"/>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row>
    <row r="340" spans="1:59" ht="12.75">
      <c r="A340" s="434"/>
      <c r="B340" s="466"/>
      <c r="C340" s="164" t="s">
        <v>306</v>
      </c>
      <c r="D340" s="669"/>
      <c r="E340" s="432"/>
      <c r="F340" s="140"/>
      <c r="G340" s="108"/>
      <c r="H340" s="109"/>
      <c r="I340" s="64"/>
      <c r="J340" s="64"/>
      <c r="K340" s="202"/>
      <c r="L340" s="139"/>
      <c r="M340" s="248"/>
      <c r="N340" s="638"/>
      <c r="O340" s="655"/>
      <c r="P340" s="234"/>
      <c r="Q340" s="186"/>
      <c r="R340" s="186"/>
      <c r="S340" s="156"/>
      <c r="T340" s="149"/>
      <c r="U340" s="150"/>
      <c r="V340" s="151"/>
      <c r="W340" s="152"/>
      <c r="X340" s="152"/>
      <c r="Y340" s="141"/>
      <c r="Z340" s="141"/>
      <c r="AA340" s="32"/>
      <c r="AB340" s="196"/>
      <c r="AC340" s="20"/>
      <c r="AD340" s="112"/>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row>
    <row r="341" spans="1:59" ht="12.75">
      <c r="A341" s="434"/>
      <c r="B341" s="466"/>
      <c r="C341" s="487"/>
      <c r="D341" s="669"/>
      <c r="E341" s="432"/>
      <c r="F341" s="140"/>
      <c r="G341" s="108"/>
      <c r="H341" s="109"/>
      <c r="I341" s="64"/>
      <c r="J341" s="64"/>
      <c r="K341" s="202"/>
      <c r="L341" s="139"/>
      <c r="M341" s="248"/>
      <c r="N341" s="638"/>
      <c r="O341" s="655"/>
      <c r="P341" s="234"/>
      <c r="Q341" s="186"/>
      <c r="R341" s="186"/>
      <c r="S341" s="165"/>
      <c r="T341" s="149"/>
      <c r="U341" s="150"/>
      <c r="V341" s="151"/>
      <c r="W341" s="152"/>
      <c r="X341" s="152"/>
      <c r="Y341" s="141"/>
      <c r="Z341" s="141"/>
      <c r="AA341" s="141"/>
      <c r="AB341" s="196"/>
      <c r="AC341" s="20"/>
      <c r="AD341" s="112"/>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row>
    <row r="342" spans="1:59" ht="12.75">
      <c r="A342" s="434"/>
      <c r="B342" s="466"/>
      <c r="C342" s="488" t="s">
        <v>307</v>
      </c>
      <c r="D342" s="669"/>
      <c r="E342" s="432"/>
      <c r="F342" s="140"/>
      <c r="G342" s="108"/>
      <c r="H342" s="109"/>
      <c r="I342" s="64"/>
      <c r="J342" s="64"/>
      <c r="K342" s="202"/>
      <c r="L342" s="139"/>
      <c r="M342" s="248"/>
      <c r="N342" s="638"/>
      <c r="O342" s="655"/>
      <c r="P342" s="234"/>
      <c r="Q342" s="186"/>
      <c r="R342" s="186"/>
      <c r="S342" s="165"/>
      <c r="T342" s="149"/>
      <c r="U342" s="150"/>
      <c r="V342" s="151"/>
      <c r="W342" s="152"/>
      <c r="X342" s="152"/>
      <c r="Y342" s="141"/>
      <c r="Z342" s="141"/>
      <c r="AA342" s="141"/>
      <c r="AB342" s="196"/>
      <c r="AC342" s="20"/>
      <c r="AD342" s="112"/>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row>
    <row r="343" spans="1:59" ht="12.75">
      <c r="A343" s="434"/>
      <c r="B343" s="466"/>
      <c r="C343" s="489" t="s">
        <v>308</v>
      </c>
      <c r="D343" s="669"/>
      <c r="E343" s="432"/>
      <c r="F343" s="140"/>
      <c r="G343" s="108"/>
      <c r="H343" s="109"/>
      <c r="I343" s="64"/>
      <c r="J343" s="64"/>
      <c r="K343" s="202"/>
      <c r="L343" s="139"/>
      <c r="M343" s="248"/>
      <c r="N343" s="638"/>
      <c r="O343" s="655"/>
      <c r="P343" s="234"/>
      <c r="Q343" s="186"/>
      <c r="R343" s="186"/>
      <c r="S343" s="156"/>
      <c r="T343" s="149"/>
      <c r="U343" s="150"/>
      <c r="V343" s="151"/>
      <c r="W343" s="152"/>
      <c r="X343" s="152"/>
      <c r="Y343" s="141"/>
      <c r="Z343" s="141"/>
      <c r="AA343" s="141"/>
      <c r="AB343" s="196"/>
      <c r="AC343" s="20"/>
      <c r="AD343" s="112"/>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row>
    <row r="344" spans="1:59" ht="12.75">
      <c r="A344" s="434">
        <v>168</v>
      </c>
      <c r="B344" s="466" t="s">
        <v>309</v>
      </c>
      <c r="C344" s="489" t="s">
        <v>310</v>
      </c>
      <c r="D344" s="669" t="s">
        <v>311</v>
      </c>
      <c r="E344" s="432" t="s">
        <v>312</v>
      </c>
      <c r="F344" s="140"/>
      <c r="G344" s="108"/>
      <c r="H344" s="109"/>
      <c r="I344" s="64" t="str">
        <f>R</f>
        <v>Réelle</v>
      </c>
      <c r="J344" s="64" t="s">
        <v>313</v>
      </c>
      <c r="K344" s="202" t="s">
        <v>314</v>
      </c>
      <c r="L344" s="139"/>
      <c r="M344" s="248" t="str">
        <f>"(9)"</f>
        <v>(9)</v>
      </c>
      <c r="N344" s="638"/>
      <c r="O344" s="655" t="str">
        <f>P</f>
        <v>. . .</v>
      </c>
      <c r="P344" s="234" t="s">
        <v>315</v>
      </c>
      <c r="Q344" s="186" t="str">
        <f>VI</f>
        <v>(25)</v>
      </c>
      <c r="R344" s="186" t="str">
        <f>VI</f>
        <v>(25)</v>
      </c>
      <c r="S344" s="165"/>
      <c r="W344" s="152" t="str">
        <f>t</f>
        <v>TVO</v>
      </c>
      <c r="X344" s="152"/>
      <c r="Y344" s="141">
        <v>4004</v>
      </c>
      <c r="Z344" s="141">
        <v>9348</v>
      </c>
      <c r="AA344" s="32">
        <v>9345</v>
      </c>
      <c r="AB344" s="196"/>
      <c r="AC344" s="20"/>
      <c r="AD344" s="112"/>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row>
    <row r="345" spans="1:59" ht="12.75">
      <c r="A345" s="434">
        <v>169</v>
      </c>
      <c r="B345" s="466" t="s">
        <v>316</v>
      </c>
      <c r="C345" s="489" t="s">
        <v>317</v>
      </c>
      <c r="D345" s="669" t="s">
        <v>318</v>
      </c>
      <c r="E345" s="432" t="s">
        <v>319</v>
      </c>
      <c r="F345" s="140"/>
      <c r="G345" s="108"/>
      <c r="H345" s="109"/>
      <c r="I345" s="64" t="str">
        <f>R</f>
        <v>Réelle</v>
      </c>
      <c r="J345" s="64" t="str">
        <f>P</f>
        <v>. . .</v>
      </c>
      <c r="K345" s="202" t="s">
        <v>320</v>
      </c>
      <c r="L345" s="139"/>
      <c r="M345" s="248" t="s">
        <v>321</v>
      </c>
      <c r="N345" s="638"/>
      <c r="O345" s="655" t="str">
        <f>P</f>
        <v>. . .</v>
      </c>
      <c r="P345" s="234" t="s">
        <v>322</v>
      </c>
      <c r="Q345" s="186" t="str">
        <f>VI</f>
        <v>(25)</v>
      </c>
      <c r="R345" s="186" t="str">
        <f>VI</f>
        <v>(25)</v>
      </c>
      <c r="S345" s="156"/>
      <c r="W345" s="152" t="str">
        <f>t</f>
        <v>TVO</v>
      </c>
      <c r="X345" s="152"/>
      <c r="Y345" s="141">
        <v>4004</v>
      </c>
      <c r="Z345" s="141">
        <v>9348</v>
      </c>
      <c r="AA345" s="32">
        <v>9345</v>
      </c>
      <c r="AB345" s="196"/>
      <c r="AC345" s="20"/>
      <c r="AD345" s="112"/>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row>
    <row r="346" spans="1:59" ht="12.75">
      <c r="A346" s="434"/>
      <c r="B346" s="466"/>
      <c r="C346" s="489" t="s">
        <v>323</v>
      </c>
      <c r="D346" s="669"/>
      <c r="E346" s="432"/>
      <c r="F346" s="140"/>
      <c r="G346" s="108"/>
      <c r="H346" s="109"/>
      <c r="I346" s="64"/>
      <c r="J346" s="64"/>
      <c r="K346" s="202"/>
      <c r="L346" s="139"/>
      <c r="M346" s="248"/>
      <c r="N346" s="638"/>
      <c r="O346" s="655"/>
      <c r="P346" s="234"/>
      <c r="Q346" s="186"/>
      <c r="R346" s="186"/>
      <c r="S346" s="156"/>
      <c r="W346" s="73"/>
      <c r="X346" s="73"/>
      <c r="Y346" s="141"/>
      <c r="Z346" s="141"/>
      <c r="AA346" s="141"/>
      <c r="AB346" s="196"/>
      <c r="AC346" s="20"/>
      <c r="AD346" s="112"/>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row>
    <row r="347" spans="1:92" s="440" customFormat="1" ht="13.5" thickBot="1">
      <c r="A347" s="434"/>
      <c r="B347" s="466"/>
      <c r="C347" s="489" t="s">
        <v>324</v>
      </c>
      <c r="D347" s="669"/>
      <c r="E347" s="432"/>
      <c r="F347" s="140"/>
      <c r="G347" s="108"/>
      <c r="H347" s="109"/>
      <c r="I347" s="64"/>
      <c r="J347" s="64"/>
      <c r="K347" s="202"/>
      <c r="L347" s="139"/>
      <c r="M347" s="248"/>
      <c r="N347" s="638"/>
      <c r="O347" s="655"/>
      <c r="P347" s="234"/>
      <c r="Q347" s="186"/>
      <c r="R347" s="186"/>
      <c r="S347" s="156"/>
      <c r="T347" s="9"/>
      <c r="U347" s="10"/>
      <c r="V347" s="11"/>
      <c r="W347" s="73"/>
      <c r="X347" s="73"/>
      <c r="Y347" s="141"/>
      <c r="Z347" s="141"/>
      <c r="AA347" s="32"/>
      <c r="AB347" s="196"/>
      <c r="AC347" s="501"/>
      <c r="AD347" s="112"/>
      <c r="AE347" s="31"/>
      <c r="AF347" s="31"/>
      <c r="AG347" s="31"/>
      <c r="AH347" s="438"/>
      <c r="AI347" s="438"/>
      <c r="AJ347" s="438"/>
      <c r="AK347" s="438"/>
      <c r="AL347" s="438"/>
      <c r="AM347" s="438"/>
      <c r="AN347" s="438"/>
      <c r="AO347" s="438"/>
      <c r="AP347" s="438"/>
      <c r="AQ347" s="438"/>
      <c r="AR347" s="438"/>
      <c r="AS347" s="438"/>
      <c r="AT347" s="438"/>
      <c r="AU347" s="438"/>
      <c r="AV347" s="438"/>
      <c r="AW347" s="438"/>
      <c r="AX347" s="438"/>
      <c r="AY347" s="438"/>
      <c r="AZ347" s="438"/>
      <c r="BA347" s="438"/>
      <c r="BB347" s="438"/>
      <c r="BC347" s="438"/>
      <c r="BD347" s="438"/>
      <c r="BE347" s="438"/>
      <c r="BF347" s="438"/>
      <c r="BG347" s="438"/>
      <c r="BH347" s="439"/>
      <c r="BI347" s="439"/>
      <c r="BJ347" s="439"/>
      <c r="BK347" s="439"/>
      <c r="BL347" s="439"/>
      <c r="BM347" s="439"/>
      <c r="BN347" s="439"/>
      <c r="BO347" s="439"/>
      <c r="BP347" s="439"/>
      <c r="BQ347" s="439"/>
      <c r="BR347" s="439"/>
      <c r="BS347" s="439"/>
      <c r="BT347" s="439"/>
      <c r="BU347" s="439"/>
      <c r="BV347" s="439"/>
      <c r="BW347" s="439"/>
      <c r="BX347" s="439"/>
      <c r="BY347" s="439"/>
      <c r="BZ347" s="439"/>
      <c r="CA347" s="439"/>
      <c r="CB347" s="439"/>
      <c r="CC347" s="439"/>
      <c r="CD347" s="439"/>
      <c r="CE347" s="439"/>
      <c r="CF347" s="439"/>
      <c r="CG347" s="439"/>
      <c r="CH347" s="439"/>
      <c r="CI347" s="439"/>
      <c r="CJ347" s="439"/>
      <c r="CK347" s="439"/>
      <c r="CL347" s="439"/>
      <c r="CM347" s="439"/>
      <c r="CN347" s="439"/>
    </row>
    <row r="348" spans="1:59" ht="12.75">
      <c r="A348" s="434">
        <v>170</v>
      </c>
      <c r="B348" s="466" t="s">
        <v>325</v>
      </c>
      <c r="C348" s="489" t="s">
        <v>326</v>
      </c>
      <c r="D348" s="669" t="s">
        <v>327</v>
      </c>
      <c r="E348" s="432" t="s">
        <v>328</v>
      </c>
      <c r="F348" s="140"/>
      <c r="G348" s="108"/>
      <c r="H348" s="109"/>
      <c r="I348" s="64" t="str">
        <f>R</f>
        <v>Réelle</v>
      </c>
      <c r="J348" s="64" t="s">
        <v>329</v>
      </c>
      <c r="K348" s="202" t="s">
        <v>330</v>
      </c>
      <c r="L348" s="139"/>
      <c r="M348" s="248" t="str">
        <f>"(9)"</f>
        <v>(9)</v>
      </c>
      <c r="N348" s="638"/>
      <c r="O348" s="655" t="str">
        <f>P</f>
        <v>. . .</v>
      </c>
      <c r="P348" s="234" t="s">
        <v>331</v>
      </c>
      <c r="Q348" s="186" t="str">
        <f>VI</f>
        <v>(25)</v>
      </c>
      <c r="R348" s="186" t="str">
        <f>VI</f>
        <v>(25)</v>
      </c>
      <c r="S348" s="156"/>
      <c r="W348" s="152" t="str">
        <f>t</f>
        <v>TVO</v>
      </c>
      <c r="X348" s="152"/>
      <c r="Y348" s="32"/>
      <c r="Z348" s="32"/>
      <c r="AA348" s="32"/>
      <c r="AB348" s="196"/>
      <c r="AC348" s="20"/>
      <c r="AD348" s="112"/>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row>
    <row r="349" spans="1:59" ht="12.75">
      <c r="A349" s="434">
        <v>171</v>
      </c>
      <c r="B349" s="466" t="s">
        <v>332</v>
      </c>
      <c r="C349" s="489" t="s">
        <v>333</v>
      </c>
      <c r="D349" s="669" t="s">
        <v>334</v>
      </c>
      <c r="E349" s="432" t="s">
        <v>335</v>
      </c>
      <c r="F349" s="140"/>
      <c r="G349" s="108"/>
      <c r="H349" s="109"/>
      <c r="I349" s="64" t="str">
        <f>R</f>
        <v>Réelle</v>
      </c>
      <c r="J349" s="64" t="str">
        <f>P</f>
        <v>. . .</v>
      </c>
      <c r="K349" s="202" t="s">
        <v>336</v>
      </c>
      <c r="L349" s="139"/>
      <c r="M349" s="248" t="s">
        <v>337</v>
      </c>
      <c r="N349" s="184"/>
      <c r="O349" s="532" t="str">
        <f>P</f>
        <v>. . .</v>
      </c>
      <c r="P349" s="234" t="s">
        <v>338</v>
      </c>
      <c r="Q349" s="186" t="str">
        <f>VI</f>
        <v>(25)</v>
      </c>
      <c r="R349" s="186" t="str">
        <f>VI</f>
        <v>(25)</v>
      </c>
      <c r="S349" s="461"/>
      <c r="T349" s="444"/>
      <c r="U349" s="445"/>
      <c r="V349" s="446"/>
      <c r="W349" s="152" t="str">
        <f>t</f>
        <v>TVO</v>
      </c>
      <c r="X349" s="152"/>
      <c r="Y349" s="141">
        <v>4004</v>
      </c>
      <c r="Z349" s="141">
        <v>9348</v>
      </c>
      <c r="AA349" s="141">
        <v>9301</v>
      </c>
      <c r="AB349" s="196"/>
      <c r="AC349" s="20"/>
      <c r="AD349" s="112"/>
      <c r="AE349" s="31"/>
      <c r="AF349" s="31"/>
      <c r="AG349" s="31"/>
      <c r="AH349" s="31"/>
      <c r="AI349" s="31"/>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row>
    <row r="350" spans="1:59" ht="12.75">
      <c r="A350" s="434"/>
      <c r="B350" s="466"/>
      <c r="C350" s="488" t="s">
        <v>339</v>
      </c>
      <c r="D350" s="669"/>
      <c r="E350" s="432"/>
      <c r="F350" s="140"/>
      <c r="G350" s="108"/>
      <c r="H350" s="109"/>
      <c r="I350" s="64"/>
      <c r="J350" s="64"/>
      <c r="K350" s="202"/>
      <c r="L350" s="139"/>
      <c r="M350" s="248"/>
      <c r="N350" s="638"/>
      <c r="O350" s="655"/>
      <c r="P350" s="234"/>
      <c r="Q350" s="186"/>
      <c r="R350" s="186"/>
      <c r="S350" s="156"/>
      <c r="W350" s="73"/>
      <c r="X350" s="73"/>
      <c r="Y350" s="141">
        <v>9301</v>
      </c>
      <c r="Z350" s="141"/>
      <c r="AA350" s="141"/>
      <c r="AB350" s="196"/>
      <c r="AC350" s="20"/>
      <c r="AD350" s="112"/>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row>
    <row r="351" spans="1:59" ht="12.75">
      <c r="A351" s="434">
        <v>172</v>
      </c>
      <c r="B351" s="466" t="s">
        <v>340</v>
      </c>
      <c r="C351" s="489" t="s">
        <v>341</v>
      </c>
      <c r="D351" s="669" t="s">
        <v>342</v>
      </c>
      <c r="E351" s="432" t="s">
        <v>343</v>
      </c>
      <c r="F351" s="140"/>
      <c r="G351" s="108"/>
      <c r="H351" s="109"/>
      <c r="I351" s="64" t="str">
        <f>R</f>
        <v>Réelle</v>
      </c>
      <c r="J351" s="64" t="s">
        <v>344</v>
      </c>
      <c r="K351" s="202" t="s">
        <v>345</v>
      </c>
      <c r="L351" s="139"/>
      <c r="M351" s="248" t="str">
        <f>"(9)"</f>
        <v>(9)</v>
      </c>
      <c r="N351" s="638"/>
      <c r="O351" s="655" t="str">
        <f>P</f>
        <v>. . .</v>
      </c>
      <c r="P351" s="234" t="s">
        <v>346</v>
      </c>
      <c r="Q351" s="186" t="str">
        <f>VI</f>
        <v>(25)</v>
      </c>
      <c r="R351" s="186" t="str">
        <f>VI</f>
        <v>(25)</v>
      </c>
      <c r="S351" s="165"/>
      <c r="W351" s="152" t="str">
        <f>t</f>
        <v>TVO</v>
      </c>
      <c r="X351" s="152"/>
      <c r="Y351" s="32"/>
      <c r="Z351" s="32"/>
      <c r="AA351" s="32"/>
      <c r="AB351" s="196"/>
      <c r="AC351" s="20"/>
      <c r="AD351" s="112"/>
      <c r="AE351" s="31"/>
      <c r="AF351" s="31"/>
      <c r="AG351" s="31"/>
      <c r="AH351" s="31"/>
      <c r="AI351" s="31"/>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c r="BF351" s="31"/>
      <c r="BG351" s="31"/>
    </row>
    <row r="352" spans="1:59" ht="12.75">
      <c r="A352" s="434">
        <v>173</v>
      </c>
      <c r="B352" s="466" t="s">
        <v>347</v>
      </c>
      <c r="C352" s="489" t="s">
        <v>348</v>
      </c>
      <c r="D352" s="669" t="s">
        <v>349</v>
      </c>
      <c r="E352" s="432" t="s">
        <v>350</v>
      </c>
      <c r="F352" s="140"/>
      <c r="G352" s="108"/>
      <c r="H352" s="109"/>
      <c r="I352" s="64" t="str">
        <f>R</f>
        <v>Réelle</v>
      </c>
      <c r="J352" s="64" t="str">
        <f>P</f>
        <v>. . .</v>
      </c>
      <c r="K352" s="202" t="s">
        <v>351</v>
      </c>
      <c r="L352" s="139"/>
      <c r="M352" s="248" t="s">
        <v>352</v>
      </c>
      <c r="N352" s="638"/>
      <c r="O352" s="655" t="str">
        <f>P</f>
        <v>. . .</v>
      </c>
      <c r="P352" s="234" t="s">
        <v>353</v>
      </c>
      <c r="Q352" s="186" t="str">
        <f>VI</f>
        <v>(25)</v>
      </c>
      <c r="R352" s="186" t="str">
        <f>VI</f>
        <v>(25)</v>
      </c>
      <c r="S352" s="165"/>
      <c r="W352" s="152" t="str">
        <f>t</f>
        <v>TVO</v>
      </c>
      <c r="X352" s="152"/>
      <c r="Y352" s="141">
        <v>4004</v>
      </c>
      <c r="Z352" s="141">
        <v>9348</v>
      </c>
      <c r="AA352" s="32"/>
      <c r="AB352" s="196"/>
      <c r="AC352" s="20"/>
      <c r="AD352" s="112"/>
      <c r="AE352" s="31"/>
      <c r="AF352" s="31"/>
      <c r="AG352" s="31"/>
      <c r="AH352" s="31"/>
      <c r="AI352" s="31"/>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row>
    <row r="353" spans="1:59" ht="12.75">
      <c r="A353" s="434"/>
      <c r="B353" s="466"/>
      <c r="C353" s="488" t="s">
        <v>354</v>
      </c>
      <c r="D353" s="669"/>
      <c r="E353" s="432"/>
      <c r="F353" s="140"/>
      <c r="G353" s="108"/>
      <c r="H353" s="109"/>
      <c r="I353" s="64"/>
      <c r="J353" s="64"/>
      <c r="K353" s="202"/>
      <c r="L353" s="139"/>
      <c r="M353" s="248"/>
      <c r="N353" s="638"/>
      <c r="O353" s="655"/>
      <c r="P353" s="234"/>
      <c r="Q353" s="186"/>
      <c r="R353" s="186"/>
      <c r="S353" s="156"/>
      <c r="T353" s="70"/>
      <c r="U353" s="71"/>
      <c r="V353" s="72"/>
      <c r="W353" s="73"/>
      <c r="X353" s="73"/>
      <c r="Y353" s="141"/>
      <c r="Z353" s="141"/>
      <c r="AA353" s="141"/>
      <c r="AB353" s="196"/>
      <c r="AC353" s="20"/>
      <c r="AD353" s="112"/>
      <c r="AE353" s="31"/>
      <c r="AF353" s="31"/>
      <c r="AG353" s="31"/>
      <c r="AH353" s="31"/>
      <c r="AI353" s="31"/>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row>
    <row r="354" spans="1:59" ht="12.75">
      <c r="A354" s="434">
        <v>174</v>
      </c>
      <c r="B354" s="466" t="s">
        <v>1748</v>
      </c>
      <c r="C354" s="489" t="s">
        <v>355</v>
      </c>
      <c r="D354" s="669" t="s">
        <v>356</v>
      </c>
      <c r="E354" s="432" t="s">
        <v>357</v>
      </c>
      <c r="F354" s="140"/>
      <c r="G354" s="108"/>
      <c r="H354" s="109"/>
      <c r="I354" s="64" t="str">
        <f>R</f>
        <v>Réelle</v>
      </c>
      <c r="J354" s="64" t="s">
        <v>358</v>
      </c>
      <c r="K354" s="202" t="s">
        <v>359</v>
      </c>
      <c r="L354" s="139"/>
      <c r="M354" s="248" t="str">
        <f>"(9)"</f>
        <v>(9)</v>
      </c>
      <c r="N354" s="638"/>
      <c r="O354" s="655" t="str">
        <f>P</f>
        <v>. . .</v>
      </c>
      <c r="P354" s="234" t="s">
        <v>360</v>
      </c>
      <c r="Q354" s="186" t="str">
        <f>VI</f>
        <v>(25)</v>
      </c>
      <c r="R354" s="186" t="str">
        <f>VI</f>
        <v>(25)</v>
      </c>
      <c r="S354" s="156"/>
      <c r="W354" s="152" t="str">
        <f>t</f>
        <v>TVO</v>
      </c>
      <c r="X354" s="152"/>
      <c r="Y354" s="32"/>
      <c r="Z354" s="32"/>
      <c r="AA354" s="32"/>
      <c r="AB354" s="196"/>
      <c r="AC354" s="20"/>
      <c r="AD354" s="112"/>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row>
    <row r="355" spans="1:59" ht="12.75">
      <c r="A355" s="434">
        <v>175</v>
      </c>
      <c r="B355" s="466" t="s">
        <v>361</v>
      </c>
      <c r="C355" s="489" t="s">
        <v>362</v>
      </c>
      <c r="D355" s="669" t="s">
        <v>363</v>
      </c>
      <c r="E355" s="432" t="s">
        <v>364</v>
      </c>
      <c r="F355" s="140"/>
      <c r="G355" s="108"/>
      <c r="H355" s="109"/>
      <c r="I355" s="64" t="str">
        <f>R</f>
        <v>Réelle</v>
      </c>
      <c r="J355" s="64" t="str">
        <f>P</f>
        <v>. . .</v>
      </c>
      <c r="K355" s="202" t="s">
        <v>365</v>
      </c>
      <c r="L355" s="139"/>
      <c r="M355" s="248" t="s">
        <v>366</v>
      </c>
      <c r="N355" s="638"/>
      <c r="O355" s="655" t="str">
        <f>P</f>
        <v>. . .</v>
      </c>
      <c r="P355" s="234" t="s">
        <v>367</v>
      </c>
      <c r="Q355" s="186" t="str">
        <f>VI</f>
        <v>(25)</v>
      </c>
      <c r="R355" s="186" t="str">
        <f>VI</f>
        <v>(25)</v>
      </c>
      <c r="S355" s="165"/>
      <c r="W355" s="152" t="str">
        <f>t</f>
        <v>TVO</v>
      </c>
      <c r="X355" s="152"/>
      <c r="Y355" s="141">
        <v>4004</v>
      </c>
      <c r="Z355" s="141">
        <v>9348</v>
      </c>
      <c r="AA355" s="32">
        <v>9301</v>
      </c>
      <c r="AB355" s="196"/>
      <c r="AC355" s="20"/>
      <c r="AD355" s="112"/>
      <c r="AE355" s="31"/>
      <c r="AF355" s="31"/>
      <c r="AG355" s="31"/>
      <c r="AH355" s="31"/>
      <c r="AI355" s="31"/>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row>
    <row r="356" spans="1:59" ht="12.75">
      <c r="A356" s="434"/>
      <c r="B356" s="466"/>
      <c r="C356" s="488" t="s">
        <v>368</v>
      </c>
      <c r="D356" s="669"/>
      <c r="E356" s="432"/>
      <c r="F356" s="140"/>
      <c r="G356" s="108"/>
      <c r="H356" s="109"/>
      <c r="I356" s="64"/>
      <c r="J356" s="64"/>
      <c r="K356" s="202"/>
      <c r="L356" s="139"/>
      <c r="M356" s="248"/>
      <c r="N356" s="638"/>
      <c r="O356" s="655"/>
      <c r="P356" s="234"/>
      <c r="Q356" s="186"/>
      <c r="R356" s="186"/>
      <c r="S356" s="165"/>
      <c r="W356" s="73"/>
      <c r="X356" s="73"/>
      <c r="Y356" s="141">
        <v>4004</v>
      </c>
      <c r="Z356" s="141">
        <v>9348</v>
      </c>
      <c r="AA356" s="141">
        <v>9301</v>
      </c>
      <c r="AB356" s="196"/>
      <c r="AC356" s="20"/>
      <c r="AD356" s="112"/>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row>
    <row r="357" spans="1:59" ht="12.75">
      <c r="A357" s="434">
        <v>176</v>
      </c>
      <c r="B357" s="466" t="s">
        <v>369</v>
      </c>
      <c r="C357" s="489" t="s">
        <v>370</v>
      </c>
      <c r="D357" s="669" t="s">
        <v>371</v>
      </c>
      <c r="E357" s="432" t="s">
        <v>372</v>
      </c>
      <c r="F357" s="140"/>
      <c r="G357" s="108"/>
      <c r="H357" s="109"/>
      <c r="I357" s="64" t="str">
        <f>R</f>
        <v>Réelle</v>
      </c>
      <c r="J357" s="64" t="str">
        <f>P</f>
        <v>. . .</v>
      </c>
      <c r="K357" s="202" t="s">
        <v>373</v>
      </c>
      <c r="L357" s="139"/>
      <c r="M357" s="248" t="str">
        <f>"(9)"</f>
        <v>(9)</v>
      </c>
      <c r="N357" s="638"/>
      <c r="O357" s="655" t="str">
        <f>P</f>
        <v>. . .</v>
      </c>
      <c r="P357" s="234" t="s">
        <v>374</v>
      </c>
      <c r="Q357" s="186" t="str">
        <f aca="true" t="shared" si="6" ref="Q357:R359">VI</f>
        <v>(25)</v>
      </c>
      <c r="R357" s="186" t="str">
        <f t="shared" si="6"/>
        <v>(25)</v>
      </c>
      <c r="S357" s="1"/>
      <c r="W357" s="152" t="str">
        <f>t</f>
        <v>TVO</v>
      </c>
      <c r="X357" s="152"/>
      <c r="Y357" s="141">
        <v>4004</v>
      </c>
      <c r="Z357" s="141">
        <v>9348</v>
      </c>
      <c r="AA357" s="32">
        <v>9301</v>
      </c>
      <c r="AB357" s="196"/>
      <c r="AC357" s="20"/>
      <c r="AD357" s="112"/>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row>
    <row r="358" spans="1:59" ht="12.75">
      <c r="A358" s="434">
        <v>177</v>
      </c>
      <c r="B358" s="466" t="s">
        <v>375</v>
      </c>
      <c r="C358" s="489" t="s">
        <v>376</v>
      </c>
      <c r="D358" s="669" t="s">
        <v>377</v>
      </c>
      <c r="E358" s="432" t="s">
        <v>378</v>
      </c>
      <c r="F358" s="140"/>
      <c r="G358" s="108"/>
      <c r="H358" s="109"/>
      <c r="I358" s="64" t="str">
        <f>R</f>
        <v>Réelle</v>
      </c>
      <c r="J358" s="64" t="str">
        <f>P</f>
        <v>. . .</v>
      </c>
      <c r="K358" s="202" t="s">
        <v>379</v>
      </c>
      <c r="L358" s="139"/>
      <c r="M358" s="248" t="str">
        <f>"(9)"</f>
        <v>(9)</v>
      </c>
      <c r="N358" s="638"/>
      <c r="O358" s="655" t="str">
        <f>P</f>
        <v>. . .</v>
      </c>
      <c r="P358" s="234" t="s">
        <v>380</v>
      </c>
      <c r="Q358" s="186" t="str">
        <f t="shared" si="6"/>
        <v>(25)</v>
      </c>
      <c r="R358" s="186" t="str">
        <f t="shared" si="6"/>
        <v>(25)</v>
      </c>
      <c r="S358" s="1"/>
      <c r="W358" s="152" t="str">
        <f>t</f>
        <v>TVO</v>
      </c>
      <c r="X358" s="152"/>
      <c r="Y358" s="141"/>
      <c r="Z358" s="141"/>
      <c r="AA358" s="32"/>
      <c r="AB358" s="196"/>
      <c r="AC358" s="20"/>
      <c r="AD358" s="112"/>
      <c r="AE358" s="31"/>
      <c r="AF358" s="31"/>
      <c r="AG358" s="31"/>
      <c r="AH358" s="31"/>
      <c r="AI358" s="31"/>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c r="BF358" s="31"/>
      <c r="BG358" s="31"/>
    </row>
    <row r="359" spans="1:92" s="450" customFormat="1" ht="12.75">
      <c r="A359" s="434">
        <v>178</v>
      </c>
      <c r="B359" s="466" t="s">
        <v>381</v>
      </c>
      <c r="C359" s="489" t="s">
        <v>382</v>
      </c>
      <c r="D359" s="669" t="s">
        <v>383</v>
      </c>
      <c r="E359" s="432" t="s">
        <v>384</v>
      </c>
      <c r="F359" s="140"/>
      <c r="G359" s="108"/>
      <c r="H359" s="109"/>
      <c r="I359" s="64" t="str">
        <f>R</f>
        <v>Réelle</v>
      </c>
      <c r="J359" s="64" t="str">
        <f>P</f>
        <v>. . .</v>
      </c>
      <c r="K359" s="202" t="s">
        <v>385</v>
      </c>
      <c r="L359" s="139"/>
      <c r="M359" s="248" t="str">
        <f>"(9)"</f>
        <v>(9)</v>
      </c>
      <c r="N359" s="638"/>
      <c r="O359" s="655" t="str">
        <f>P</f>
        <v>. . .</v>
      </c>
      <c r="P359" s="234" t="s">
        <v>386</v>
      </c>
      <c r="Q359" s="186" t="str">
        <f t="shared" si="6"/>
        <v>(25)</v>
      </c>
      <c r="R359" s="186" t="str">
        <f t="shared" si="6"/>
        <v>(25)</v>
      </c>
      <c r="T359" s="9"/>
      <c r="U359" s="10"/>
      <c r="V359" s="11"/>
      <c r="W359" s="152" t="str">
        <f>t</f>
        <v>TVO</v>
      </c>
      <c r="X359" s="152"/>
      <c r="Y359" s="32"/>
      <c r="Z359" s="32"/>
      <c r="AA359" s="141"/>
      <c r="AB359" s="196"/>
      <c r="AC359" s="20"/>
      <c r="AD359" s="112"/>
      <c r="AE359" s="31"/>
      <c r="AF359" s="31"/>
      <c r="AG359" s="31"/>
      <c r="AH359" s="31"/>
      <c r="AI359" s="31"/>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c r="BG359" s="31"/>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row>
    <row r="360" spans="1:59" ht="12.75">
      <c r="A360" s="434"/>
      <c r="B360" s="466"/>
      <c r="C360" s="489"/>
      <c r="D360" s="669"/>
      <c r="E360" s="432"/>
      <c r="F360" s="140"/>
      <c r="G360" s="108"/>
      <c r="H360" s="109"/>
      <c r="I360" s="64"/>
      <c r="J360" s="64"/>
      <c r="K360" s="202"/>
      <c r="L360" s="139"/>
      <c r="M360" s="248"/>
      <c r="N360" s="638"/>
      <c r="O360" s="655"/>
      <c r="P360" s="234"/>
      <c r="Q360" s="186"/>
      <c r="R360" s="186"/>
      <c r="S360" s="156"/>
      <c r="W360" s="152"/>
      <c r="X360" s="152"/>
      <c r="Y360" s="141">
        <v>4004</v>
      </c>
      <c r="Z360" s="141">
        <v>9348</v>
      </c>
      <c r="AA360" s="32">
        <v>9301</v>
      </c>
      <c r="AB360" s="196"/>
      <c r="AC360" s="20"/>
      <c r="AD360" s="112"/>
      <c r="AE360" s="31"/>
      <c r="AF360" s="31"/>
      <c r="AG360" s="31"/>
      <c r="AH360" s="31"/>
      <c r="AI360" s="31"/>
      <c r="AJ360" s="31"/>
      <c r="AK360" s="31"/>
      <c r="AL360" s="31"/>
      <c r="AM360" s="31"/>
      <c r="AN360" s="31"/>
      <c r="AO360" s="31"/>
      <c r="AP360" s="31"/>
      <c r="AQ360" s="31"/>
      <c r="AR360" s="31"/>
      <c r="AS360" s="31"/>
      <c r="AT360" s="31"/>
      <c r="AU360" s="31"/>
      <c r="AV360" s="31"/>
      <c r="AW360" s="31"/>
      <c r="AX360" s="31"/>
      <c r="AY360" s="31"/>
      <c r="AZ360" s="31"/>
      <c r="BA360" s="31"/>
      <c r="BB360" s="31"/>
      <c r="BC360" s="31"/>
      <c r="BD360" s="31"/>
      <c r="BE360" s="31"/>
      <c r="BF360" s="31"/>
      <c r="BG360" s="31"/>
    </row>
    <row r="361" spans="1:59" ht="12.75">
      <c r="A361" s="434"/>
      <c r="B361" s="466"/>
      <c r="C361" s="489" t="s">
        <v>387</v>
      </c>
      <c r="D361" s="669"/>
      <c r="E361" s="432"/>
      <c r="F361" s="140"/>
      <c r="G361" s="108"/>
      <c r="H361" s="109"/>
      <c r="I361" s="64"/>
      <c r="J361" s="64"/>
      <c r="K361" s="202"/>
      <c r="L361" s="139"/>
      <c r="M361" s="248"/>
      <c r="N361" s="638"/>
      <c r="O361" s="655"/>
      <c r="P361" s="234"/>
      <c r="Q361" s="186"/>
      <c r="R361" s="186"/>
      <c r="S361" s="165"/>
      <c r="T361" s="70"/>
      <c r="U361" s="71"/>
      <c r="V361" s="72"/>
      <c r="W361" s="73"/>
      <c r="X361" s="73"/>
      <c r="Y361" s="141">
        <v>9301</v>
      </c>
      <c r="Z361" s="141"/>
      <c r="AA361" s="32"/>
      <c r="AB361" s="196"/>
      <c r="AC361" s="20"/>
      <c r="AD361" s="112"/>
      <c r="AE361" s="31"/>
      <c r="AF361" s="31"/>
      <c r="AG361" s="31"/>
      <c r="AH361" s="31"/>
      <c r="AI361" s="31"/>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c r="BF361" s="31"/>
      <c r="BG361" s="31"/>
    </row>
    <row r="362" spans="1:59" ht="12.75">
      <c r="A362" s="434">
        <v>179</v>
      </c>
      <c r="B362" s="466" t="s">
        <v>388</v>
      </c>
      <c r="C362" s="489" t="s">
        <v>389</v>
      </c>
      <c r="D362" s="669" t="s">
        <v>390</v>
      </c>
      <c r="E362" s="432" t="s">
        <v>391</v>
      </c>
      <c r="F362" s="140"/>
      <c r="G362" s="108"/>
      <c r="H362" s="109"/>
      <c r="I362" s="64" t="str">
        <f>R</f>
        <v>Réelle</v>
      </c>
      <c r="J362" s="64" t="s">
        <v>392</v>
      </c>
      <c r="K362" s="202" t="s">
        <v>393</v>
      </c>
      <c r="L362" s="139"/>
      <c r="M362" s="248" t="str">
        <f>"(9)"</f>
        <v>(9)</v>
      </c>
      <c r="N362" s="638"/>
      <c r="O362" s="655" t="str">
        <f>P</f>
        <v>. . .</v>
      </c>
      <c r="P362" s="234" t="s">
        <v>394</v>
      </c>
      <c r="Q362" s="186" t="str">
        <f>VI</f>
        <v>(25)</v>
      </c>
      <c r="R362" s="186" t="str">
        <f>VI</f>
        <v>(25)</v>
      </c>
      <c r="S362" s="165"/>
      <c r="W362" s="152" t="str">
        <f>t</f>
        <v>TVO</v>
      </c>
      <c r="X362" s="152"/>
      <c r="Y362" s="32"/>
      <c r="Z362" s="32"/>
      <c r="AA362" s="32"/>
      <c r="AB362" s="196"/>
      <c r="AC362" s="20"/>
      <c r="AD362" s="112"/>
      <c r="AE362" s="31"/>
      <c r="AF362" s="31"/>
      <c r="AG362" s="31"/>
      <c r="AH362" s="31"/>
      <c r="AI362" s="31"/>
      <c r="AJ362" s="31"/>
      <c r="AK362" s="31"/>
      <c r="AL362" s="31"/>
      <c r="AM362" s="31"/>
      <c r="AN362" s="31"/>
      <c r="AO362" s="31"/>
      <c r="AP362" s="31"/>
      <c r="AQ362" s="31"/>
      <c r="AR362" s="31"/>
      <c r="AS362" s="31"/>
      <c r="AT362" s="31"/>
      <c r="AU362" s="31"/>
      <c r="AV362" s="31"/>
      <c r="AW362" s="31"/>
      <c r="AX362" s="31"/>
      <c r="AY362" s="31"/>
      <c r="AZ362" s="31"/>
      <c r="BA362" s="31"/>
      <c r="BB362" s="31"/>
      <c r="BC362" s="31"/>
      <c r="BD362" s="31"/>
      <c r="BE362" s="31"/>
      <c r="BF362" s="31"/>
      <c r="BG362" s="31"/>
    </row>
    <row r="363" spans="1:59" ht="12.75">
      <c r="A363" s="434">
        <v>180</v>
      </c>
      <c r="B363" s="466" t="s">
        <v>395</v>
      </c>
      <c r="C363" s="489" t="s">
        <v>396</v>
      </c>
      <c r="D363" s="669" t="s">
        <v>397</v>
      </c>
      <c r="E363" s="432" t="s">
        <v>398</v>
      </c>
      <c r="F363" s="140"/>
      <c r="G363" s="108"/>
      <c r="H363" s="109"/>
      <c r="I363" s="64" t="str">
        <f>R</f>
        <v>Réelle</v>
      </c>
      <c r="J363" s="64" t="str">
        <f>P</f>
        <v>. . .</v>
      </c>
      <c r="K363" s="202" t="s">
        <v>399</v>
      </c>
      <c r="L363" s="139"/>
      <c r="M363" s="248" t="s">
        <v>400</v>
      </c>
      <c r="N363" s="638"/>
      <c r="O363" s="655" t="str">
        <f>P</f>
        <v>. . .</v>
      </c>
      <c r="P363" s="234" t="s">
        <v>401</v>
      </c>
      <c r="Q363" s="186" t="str">
        <f>VI</f>
        <v>(25)</v>
      </c>
      <c r="R363" s="186" t="str">
        <f>VI</f>
        <v>(25)</v>
      </c>
      <c r="S363" s="156"/>
      <c r="W363" s="152" t="str">
        <f>t</f>
        <v>TVO</v>
      </c>
      <c r="X363" s="152"/>
      <c r="Y363" s="32"/>
      <c r="Z363" s="32"/>
      <c r="AA363" s="32"/>
      <c r="AB363" s="196"/>
      <c r="AC363" s="20"/>
      <c r="AD363" s="112"/>
      <c r="AE363" s="31"/>
      <c r="AF363" s="31"/>
      <c r="AG363" s="31"/>
      <c r="AH363" s="31"/>
      <c r="AI363" s="31"/>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c r="BF363" s="31"/>
      <c r="BG363" s="31"/>
    </row>
    <row r="364" spans="1:59" ht="12.75">
      <c r="A364" s="434"/>
      <c r="B364" s="466"/>
      <c r="C364" s="489"/>
      <c r="D364" s="669"/>
      <c r="E364" s="432"/>
      <c r="F364" s="140"/>
      <c r="G364" s="108"/>
      <c r="H364" s="109"/>
      <c r="I364" s="64"/>
      <c r="J364" s="64"/>
      <c r="K364" s="202"/>
      <c r="L364" s="139"/>
      <c r="M364" s="248"/>
      <c r="N364" s="638"/>
      <c r="O364" s="655"/>
      <c r="P364" s="234"/>
      <c r="Q364" s="186"/>
      <c r="R364" s="186"/>
      <c r="S364" s="165"/>
      <c r="T364" s="70"/>
      <c r="U364" s="71"/>
      <c r="V364" s="72"/>
      <c r="W364" s="73"/>
      <c r="X364" s="73"/>
      <c r="Y364" s="141"/>
      <c r="Z364" s="141"/>
      <c r="AA364" s="141"/>
      <c r="AB364" s="196"/>
      <c r="AC364" s="20"/>
      <c r="AD364" s="112"/>
      <c r="AE364" s="31"/>
      <c r="AF364" s="31"/>
      <c r="AG364" s="31"/>
      <c r="AH364" s="31"/>
      <c r="AI364" s="31"/>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row>
    <row r="365" spans="1:92" s="429" customFormat="1" ht="13.5" thickBot="1">
      <c r="A365" s="458"/>
      <c r="B365" s="474"/>
      <c r="C365" s="492"/>
      <c r="D365" s="671"/>
      <c r="E365" s="689"/>
      <c r="F365" s="690"/>
      <c r="G365" s="191"/>
      <c r="H365" s="192"/>
      <c r="I365" s="708"/>
      <c r="J365" s="708"/>
      <c r="K365" s="491"/>
      <c r="L365" s="193"/>
      <c r="M365" s="194"/>
      <c r="N365" s="641"/>
      <c r="O365" s="662"/>
      <c r="P365" s="644"/>
      <c r="Q365" s="343"/>
      <c r="R365" s="343"/>
      <c r="S365" s="165"/>
      <c r="T365" s="70"/>
      <c r="U365" s="71"/>
      <c r="V365" s="72"/>
      <c r="W365" s="73"/>
      <c r="X365" s="73"/>
      <c r="Y365" s="141"/>
      <c r="Z365" s="141"/>
      <c r="AA365" s="32"/>
      <c r="AB365" s="196"/>
      <c r="AC365" s="20"/>
      <c r="AD365" s="112"/>
      <c r="AE365" s="31"/>
      <c r="AF365" s="31"/>
      <c r="AG365" s="31"/>
      <c r="AH365" s="31"/>
      <c r="AI365" s="31"/>
      <c r="AJ365" s="31"/>
      <c r="AK365" s="31"/>
      <c r="AL365" s="31"/>
      <c r="AM365" s="31"/>
      <c r="AN365" s="31"/>
      <c r="AO365" s="31"/>
      <c r="AP365" s="31"/>
      <c r="AQ365" s="31"/>
      <c r="AR365" s="31"/>
      <c r="AS365" s="31"/>
      <c r="AT365" s="31"/>
      <c r="AU365" s="31"/>
      <c r="AV365" s="31"/>
      <c r="AW365" s="31"/>
      <c r="AX365" s="31"/>
      <c r="AY365" s="31"/>
      <c r="AZ365" s="31"/>
      <c r="BA365" s="31"/>
      <c r="BB365" s="438"/>
      <c r="BC365" s="438"/>
      <c r="BD365" s="438"/>
      <c r="BE365" s="438"/>
      <c r="BF365" s="438"/>
      <c r="BG365" s="438"/>
      <c r="BH365" s="428"/>
      <c r="BI365" s="428"/>
      <c r="BJ365" s="428"/>
      <c r="BK365" s="428"/>
      <c r="BL365" s="428"/>
      <c r="BM365" s="428"/>
      <c r="BN365" s="428"/>
      <c r="BO365" s="428"/>
      <c r="BP365" s="428"/>
      <c r="BQ365" s="428"/>
      <c r="BR365" s="428"/>
      <c r="BS365" s="428"/>
      <c r="BT365" s="428"/>
      <c r="BU365" s="428"/>
      <c r="BV365" s="428"/>
      <c r="BW365" s="428"/>
      <c r="BX365" s="428"/>
      <c r="BY365" s="428"/>
      <c r="BZ365" s="428"/>
      <c r="CA365" s="428"/>
      <c r="CB365" s="428"/>
      <c r="CC365" s="428"/>
      <c r="CD365" s="428"/>
      <c r="CE365" s="428"/>
      <c r="CF365" s="428"/>
      <c r="CG365" s="428"/>
      <c r="CH365" s="428"/>
      <c r="CI365" s="428"/>
      <c r="CJ365" s="428"/>
      <c r="CK365" s="428"/>
      <c r="CL365" s="428"/>
      <c r="CM365" s="428"/>
      <c r="CN365" s="428"/>
    </row>
    <row r="366" spans="1:59" ht="12.75">
      <c r="A366" s="434"/>
      <c r="B366" s="493"/>
      <c r="C366" s="494" t="s">
        <v>402</v>
      </c>
      <c r="D366" s="669"/>
      <c r="E366" s="432"/>
      <c r="F366" s="140"/>
      <c r="G366" s="108"/>
      <c r="H366" s="109"/>
      <c r="I366" s="64"/>
      <c r="J366" s="64"/>
      <c r="K366" s="202"/>
      <c r="L366" s="139"/>
      <c r="M366" s="248"/>
      <c r="N366" s="638"/>
      <c r="O366" s="655"/>
      <c r="P366" s="234"/>
      <c r="Q366" s="186"/>
      <c r="R366" s="186"/>
      <c r="S366" s="165"/>
      <c r="T366" s="149"/>
      <c r="U366" s="150"/>
      <c r="V366" s="151"/>
      <c r="W366" s="152"/>
      <c r="X366" s="152"/>
      <c r="Y366" s="141"/>
      <c r="Z366" s="141"/>
      <c r="AA366" s="32"/>
      <c r="AB366" s="196"/>
      <c r="AC366" s="20"/>
      <c r="AD366" s="112"/>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row>
    <row r="367" spans="1:59" ht="12.75">
      <c r="A367" s="434"/>
      <c r="B367" s="466"/>
      <c r="C367" s="495" t="s">
        <v>403</v>
      </c>
      <c r="D367" s="669"/>
      <c r="E367" s="432"/>
      <c r="F367" s="140"/>
      <c r="G367" s="108"/>
      <c r="H367" s="109"/>
      <c r="I367" s="64"/>
      <c r="J367" s="64"/>
      <c r="K367" s="202"/>
      <c r="L367" s="139"/>
      <c r="M367" s="248"/>
      <c r="N367" s="638"/>
      <c r="O367" s="655"/>
      <c r="P367" s="234"/>
      <c r="Q367" s="186"/>
      <c r="R367" s="186"/>
      <c r="S367" s="165"/>
      <c r="T367" s="149"/>
      <c r="U367" s="150"/>
      <c r="V367" s="151"/>
      <c r="W367" s="152"/>
      <c r="X367" s="152"/>
      <c r="Y367" s="141"/>
      <c r="Z367" s="141"/>
      <c r="AA367" s="141"/>
      <c r="AB367" s="196"/>
      <c r="AC367" s="20"/>
      <c r="AD367" s="112"/>
      <c r="AE367" s="31"/>
      <c r="AF367" s="31"/>
      <c r="AG367" s="31"/>
      <c r="AH367" s="31"/>
      <c r="AI367" s="31"/>
      <c r="AJ367" s="31"/>
      <c r="AK367" s="31"/>
      <c r="AL367" s="31"/>
      <c r="AM367" s="31"/>
      <c r="AN367" s="31"/>
      <c r="AO367" s="31"/>
      <c r="AP367" s="31"/>
      <c r="AQ367" s="31"/>
      <c r="AR367" s="31"/>
      <c r="AS367" s="31"/>
      <c r="AT367" s="31"/>
      <c r="AU367" s="31"/>
      <c r="AV367" s="31"/>
      <c r="AW367" s="31"/>
      <c r="AX367" s="31"/>
      <c r="AY367" s="31"/>
      <c r="AZ367" s="31"/>
      <c r="BA367" s="31"/>
      <c r="BB367" s="31"/>
      <c r="BC367" s="31"/>
      <c r="BD367" s="31"/>
      <c r="BE367" s="31"/>
      <c r="BF367" s="31"/>
      <c r="BG367" s="31"/>
    </row>
    <row r="368" spans="1:59" ht="12.75">
      <c r="A368" s="434"/>
      <c r="B368" s="466"/>
      <c r="C368" s="495" t="s">
        <v>404</v>
      </c>
      <c r="D368" s="669"/>
      <c r="E368" s="432"/>
      <c r="F368" s="140"/>
      <c r="G368" s="108"/>
      <c r="H368" s="109"/>
      <c r="I368" s="64"/>
      <c r="J368" s="64"/>
      <c r="K368" s="202"/>
      <c r="L368" s="139"/>
      <c r="M368" s="248"/>
      <c r="N368" s="638"/>
      <c r="O368" s="655"/>
      <c r="P368" s="234"/>
      <c r="Q368" s="186"/>
      <c r="R368" s="186"/>
      <c r="S368" s="156"/>
      <c r="T368" s="149"/>
      <c r="U368" s="150"/>
      <c r="V368" s="151"/>
      <c r="W368" s="152"/>
      <c r="X368" s="152"/>
      <c r="Y368" s="141"/>
      <c r="Z368" s="141"/>
      <c r="AA368" s="141"/>
      <c r="AB368" s="196"/>
      <c r="AC368" s="20"/>
      <c r="AD368" s="112"/>
      <c r="AE368" s="31"/>
      <c r="AF368" s="31"/>
      <c r="AG368" s="31"/>
      <c r="AH368" s="31"/>
      <c r="AI368" s="31"/>
      <c r="AJ368" s="31"/>
      <c r="AK368" s="31"/>
      <c r="AL368" s="31"/>
      <c r="AM368" s="31"/>
      <c r="AN368" s="31"/>
      <c r="AO368" s="31"/>
      <c r="AP368" s="31"/>
      <c r="AQ368" s="31"/>
      <c r="AR368" s="31"/>
      <c r="AS368" s="31"/>
      <c r="AT368" s="31"/>
      <c r="AU368" s="31"/>
      <c r="AV368" s="31"/>
      <c r="AW368" s="31"/>
      <c r="AX368" s="31"/>
      <c r="AY368" s="31"/>
      <c r="AZ368" s="31"/>
      <c r="BA368" s="31"/>
      <c r="BB368" s="31"/>
      <c r="BC368" s="31"/>
      <c r="BD368" s="31"/>
      <c r="BE368" s="31"/>
      <c r="BF368" s="31"/>
      <c r="BG368" s="31"/>
    </row>
    <row r="369" spans="1:59" ht="12.75">
      <c r="A369" s="434"/>
      <c r="B369" s="466"/>
      <c r="C369" s="495" t="s">
        <v>405</v>
      </c>
      <c r="D369" s="669"/>
      <c r="E369" s="432"/>
      <c r="F369" s="140"/>
      <c r="G369" s="108"/>
      <c r="H369" s="109"/>
      <c r="I369" s="64"/>
      <c r="J369" s="64"/>
      <c r="K369" s="202"/>
      <c r="L369" s="139"/>
      <c r="M369" s="248"/>
      <c r="N369" s="638"/>
      <c r="O369" s="655"/>
      <c r="P369" s="234"/>
      <c r="Q369" s="186"/>
      <c r="R369" s="186"/>
      <c r="S369" s="165"/>
      <c r="T369" s="149"/>
      <c r="U369" s="150"/>
      <c r="V369" s="151"/>
      <c r="W369" s="152"/>
      <c r="X369" s="152"/>
      <c r="Y369" s="141"/>
      <c r="Z369" s="141"/>
      <c r="AA369" s="141"/>
      <c r="AB369" s="196"/>
      <c r="AC369" s="20"/>
      <c r="AD369" s="112"/>
      <c r="AE369" s="31"/>
      <c r="AF369" s="31"/>
      <c r="AG369" s="31"/>
      <c r="AH369" s="31"/>
      <c r="AI369" s="31"/>
      <c r="AJ369" s="31"/>
      <c r="AK369" s="31"/>
      <c r="AL369" s="31"/>
      <c r="AM369" s="31"/>
      <c r="AN369" s="31"/>
      <c r="AO369" s="31"/>
      <c r="AP369" s="31"/>
      <c r="AQ369" s="31"/>
      <c r="AR369" s="31"/>
      <c r="AS369" s="31"/>
      <c r="AT369" s="31"/>
      <c r="AU369" s="31"/>
      <c r="AV369" s="31"/>
      <c r="AW369" s="31"/>
      <c r="AX369" s="31"/>
      <c r="AY369" s="31"/>
      <c r="AZ369" s="31"/>
      <c r="BA369" s="31"/>
      <c r="BB369" s="31"/>
      <c r="BC369" s="31"/>
      <c r="BD369" s="31"/>
      <c r="BE369" s="31"/>
      <c r="BF369" s="31"/>
      <c r="BG369" s="31"/>
    </row>
    <row r="370" spans="1:59" ht="12.75">
      <c r="A370" s="434"/>
      <c r="B370" s="466"/>
      <c r="C370" s="495" t="s">
        <v>406</v>
      </c>
      <c r="D370" s="669"/>
      <c r="E370" s="432"/>
      <c r="F370" s="140"/>
      <c r="G370" s="108"/>
      <c r="H370" s="109"/>
      <c r="I370" s="64"/>
      <c r="J370" s="64"/>
      <c r="K370" s="202"/>
      <c r="L370" s="139"/>
      <c r="M370" s="248"/>
      <c r="N370" s="638"/>
      <c r="O370" s="655"/>
      <c r="P370" s="234"/>
      <c r="Q370" s="186"/>
      <c r="R370" s="186"/>
      <c r="S370" s="165"/>
      <c r="T370" s="149"/>
      <c r="U370" s="150"/>
      <c r="V370" s="151"/>
      <c r="W370" s="152"/>
      <c r="X370" s="152"/>
      <c r="Y370" s="141"/>
      <c r="Z370" s="141"/>
      <c r="AA370" s="141"/>
      <c r="AB370" s="196"/>
      <c r="AC370" s="20"/>
      <c r="AD370" s="112"/>
      <c r="AE370" s="31"/>
      <c r="AF370" s="31"/>
      <c r="AG370" s="31"/>
      <c r="AH370" s="31"/>
      <c r="AI370" s="31"/>
      <c r="AJ370" s="31"/>
      <c r="AK370" s="31"/>
      <c r="AL370" s="31"/>
      <c r="AM370" s="31"/>
      <c r="AN370" s="31"/>
      <c r="AO370" s="31"/>
      <c r="AP370" s="31"/>
      <c r="AQ370" s="31"/>
      <c r="AR370" s="31"/>
      <c r="AS370" s="31"/>
      <c r="AT370" s="31"/>
      <c r="AU370" s="31"/>
      <c r="AV370" s="31"/>
      <c r="AW370" s="31"/>
      <c r="AX370" s="31"/>
      <c r="AY370" s="31"/>
      <c r="AZ370" s="31"/>
      <c r="BA370" s="31"/>
      <c r="BB370" s="31"/>
      <c r="BC370" s="31"/>
      <c r="BD370" s="31"/>
      <c r="BE370" s="31"/>
      <c r="BF370" s="31"/>
      <c r="BG370" s="31"/>
    </row>
    <row r="371" spans="1:59" ht="12.75">
      <c r="A371" s="434"/>
      <c r="B371" s="466"/>
      <c r="C371" s="495" t="s">
        <v>407</v>
      </c>
      <c r="D371" s="669"/>
      <c r="E371" s="432"/>
      <c r="F371" s="140"/>
      <c r="G371" s="108"/>
      <c r="H371" s="109"/>
      <c r="I371" s="64"/>
      <c r="J371" s="64"/>
      <c r="K371" s="202"/>
      <c r="L371" s="139"/>
      <c r="M371" s="248"/>
      <c r="N371" s="638"/>
      <c r="O371" s="655"/>
      <c r="P371" s="234"/>
      <c r="Q371" s="186"/>
      <c r="R371" s="186"/>
      <c r="S371" s="156"/>
      <c r="T371" s="149"/>
      <c r="U371" s="150"/>
      <c r="V371" s="151"/>
      <c r="W371" s="152"/>
      <c r="X371" s="152"/>
      <c r="Y371" s="141"/>
      <c r="Z371" s="141"/>
      <c r="AA371" s="141"/>
      <c r="AB371" s="196"/>
      <c r="AC371" s="20"/>
      <c r="AD371" s="112"/>
      <c r="AE371" s="31"/>
      <c r="AF371" s="31"/>
      <c r="AG371" s="31"/>
      <c r="AH371" s="31"/>
      <c r="AI371" s="31"/>
      <c r="AJ371" s="31"/>
      <c r="AK371" s="31"/>
      <c r="AL371" s="31"/>
      <c r="AM371" s="31"/>
      <c r="AN371" s="31"/>
      <c r="AO371" s="31"/>
      <c r="AP371" s="31"/>
      <c r="AQ371" s="31"/>
      <c r="AR371" s="31"/>
      <c r="AS371" s="31"/>
      <c r="AT371" s="31"/>
      <c r="AU371" s="31"/>
      <c r="AV371" s="31"/>
      <c r="AW371" s="31"/>
      <c r="AX371" s="31"/>
      <c r="AY371" s="31"/>
      <c r="AZ371" s="31"/>
      <c r="BA371" s="31"/>
      <c r="BB371" s="31"/>
      <c r="BC371" s="31"/>
      <c r="BD371" s="31"/>
      <c r="BE371" s="31"/>
      <c r="BF371" s="31"/>
      <c r="BG371" s="31"/>
    </row>
    <row r="372" spans="1:59" ht="12.75">
      <c r="A372" s="434"/>
      <c r="B372" s="466"/>
      <c r="C372" s="495" t="s">
        <v>408</v>
      </c>
      <c r="D372" s="669"/>
      <c r="E372" s="432"/>
      <c r="F372" s="140"/>
      <c r="G372" s="108"/>
      <c r="H372" s="109"/>
      <c r="I372" s="64"/>
      <c r="J372" s="64"/>
      <c r="K372" s="202"/>
      <c r="L372" s="139"/>
      <c r="M372" s="248"/>
      <c r="N372" s="638"/>
      <c r="O372" s="655"/>
      <c r="P372" s="234"/>
      <c r="Q372" s="186"/>
      <c r="R372" s="186"/>
      <c r="S372" s="156"/>
      <c r="T372" s="149"/>
      <c r="U372" s="150"/>
      <c r="V372" s="151"/>
      <c r="W372" s="152"/>
      <c r="X372" s="152"/>
      <c r="Y372" s="141"/>
      <c r="Z372" s="141"/>
      <c r="AA372" s="141"/>
      <c r="AB372" s="196"/>
      <c r="AC372" s="20"/>
      <c r="AD372" s="112"/>
      <c r="AE372" s="31"/>
      <c r="AF372" s="31"/>
      <c r="AG372" s="31"/>
      <c r="AH372" s="31"/>
      <c r="AI372" s="31"/>
      <c r="AJ372" s="31"/>
      <c r="AK372" s="31"/>
      <c r="AL372" s="31"/>
      <c r="AM372" s="31"/>
      <c r="AN372" s="31"/>
      <c r="AO372" s="31"/>
      <c r="AP372" s="31"/>
      <c r="AQ372" s="31"/>
      <c r="AR372" s="31"/>
      <c r="AS372" s="31"/>
      <c r="AT372" s="31"/>
      <c r="AU372" s="31"/>
      <c r="AV372" s="31"/>
      <c r="AW372" s="31"/>
      <c r="AX372" s="31"/>
      <c r="AY372" s="31"/>
      <c r="AZ372" s="31"/>
      <c r="BA372" s="31"/>
      <c r="BB372" s="31"/>
      <c r="BC372" s="31"/>
      <c r="BD372" s="31"/>
      <c r="BE372" s="31"/>
      <c r="BF372" s="31"/>
      <c r="BG372" s="31"/>
    </row>
    <row r="373" spans="1:59" ht="12.75">
      <c r="A373" s="434"/>
      <c r="B373" s="466"/>
      <c r="C373" s="481" t="s">
        <v>409</v>
      </c>
      <c r="D373" s="669"/>
      <c r="E373" s="432"/>
      <c r="F373" s="140"/>
      <c r="G373" s="108"/>
      <c r="H373" s="109"/>
      <c r="I373" s="64"/>
      <c r="J373" s="64"/>
      <c r="K373" s="202"/>
      <c r="L373" s="139"/>
      <c r="M373" s="248"/>
      <c r="N373" s="638"/>
      <c r="O373" s="655"/>
      <c r="P373" s="234"/>
      <c r="Q373" s="186"/>
      <c r="R373" s="186"/>
      <c r="S373" s="156"/>
      <c r="T373" s="149"/>
      <c r="U373" s="150"/>
      <c r="V373" s="151"/>
      <c r="W373" s="152"/>
      <c r="X373" s="152"/>
      <c r="Y373" s="141"/>
      <c r="Z373" s="141"/>
      <c r="AA373" s="141"/>
      <c r="AB373" s="196"/>
      <c r="AC373" s="20"/>
      <c r="AD373" s="112"/>
      <c r="AE373" s="31"/>
      <c r="AF373" s="31"/>
      <c r="AG373" s="31"/>
      <c r="AH373" s="31"/>
      <c r="AI373" s="31"/>
      <c r="AJ373" s="31"/>
      <c r="AK373" s="31"/>
      <c r="AL373" s="31"/>
      <c r="AM373" s="31"/>
      <c r="AN373" s="31"/>
      <c r="AO373" s="31"/>
      <c r="AP373" s="31"/>
      <c r="AQ373" s="31"/>
      <c r="AR373" s="31"/>
      <c r="AS373" s="31"/>
      <c r="AT373" s="31"/>
      <c r="AU373" s="31"/>
      <c r="AV373" s="31"/>
      <c r="AW373" s="31"/>
      <c r="AX373" s="31"/>
      <c r="AY373" s="31"/>
      <c r="AZ373" s="31"/>
      <c r="BA373" s="31"/>
      <c r="BB373" s="31"/>
      <c r="BC373" s="31"/>
      <c r="BD373" s="31"/>
      <c r="BE373" s="31"/>
      <c r="BF373" s="31"/>
      <c r="BG373" s="31"/>
    </row>
    <row r="374" spans="1:59" ht="12.75">
      <c r="A374" s="434">
        <v>181</v>
      </c>
      <c r="B374" s="468" t="s">
        <v>410</v>
      </c>
      <c r="C374" s="496" t="s">
        <v>411</v>
      </c>
      <c r="D374" s="673" t="s">
        <v>412</v>
      </c>
      <c r="E374" s="693"/>
      <c r="F374" s="694"/>
      <c r="G374" s="369"/>
      <c r="H374" s="370"/>
      <c r="I374" s="709"/>
      <c r="J374" s="709"/>
      <c r="K374" s="215"/>
      <c r="L374" s="215"/>
      <c r="M374" s="248"/>
      <c r="N374" s="346"/>
      <c r="O374" s="658"/>
      <c r="P374" s="650"/>
      <c r="Q374" s="186"/>
      <c r="R374" s="186"/>
      <c r="S374" s="156"/>
      <c r="T374" s="149"/>
      <c r="U374" s="150"/>
      <c r="V374" s="151"/>
      <c r="W374" s="152"/>
      <c r="X374" s="152"/>
      <c r="Y374" s="217"/>
      <c r="Z374" s="217"/>
      <c r="AA374" s="141"/>
      <c r="AB374" s="196"/>
      <c r="AC374" s="20"/>
      <c r="AD374" s="112"/>
      <c r="AE374" s="31"/>
      <c r="AF374" s="31"/>
      <c r="AG374" s="31"/>
      <c r="AH374" s="31"/>
      <c r="AI374" s="31"/>
      <c r="AJ374" s="31"/>
      <c r="AK374" s="31"/>
      <c r="AL374" s="31"/>
      <c r="AM374" s="31"/>
      <c r="AN374" s="31"/>
      <c r="AO374" s="31"/>
      <c r="AP374" s="31"/>
      <c r="AQ374" s="31"/>
      <c r="AR374" s="31"/>
      <c r="AS374" s="31"/>
      <c r="AT374" s="31"/>
      <c r="AU374" s="31"/>
      <c r="AV374" s="31"/>
      <c r="AW374" s="31"/>
      <c r="AX374" s="31"/>
      <c r="AY374" s="31"/>
      <c r="AZ374" s="31"/>
      <c r="BA374" s="31"/>
      <c r="BB374" s="31"/>
      <c r="BC374" s="31"/>
      <c r="BD374" s="31"/>
      <c r="BE374" s="31"/>
      <c r="BF374" s="31"/>
      <c r="BG374" s="31"/>
    </row>
    <row r="375" spans="1:59" ht="12.75">
      <c r="A375" s="434"/>
      <c r="B375" s="74"/>
      <c r="C375" s="89" t="s">
        <v>413</v>
      </c>
      <c r="D375" s="81" t="str">
        <f>P</f>
        <v>. . .</v>
      </c>
      <c r="E375" s="432">
        <f>4.6%</f>
        <v>0.046</v>
      </c>
      <c r="F375" s="140"/>
      <c r="G375" s="108" t="str">
        <f>P</f>
        <v>. . .</v>
      </c>
      <c r="H375" s="109" t="str">
        <f>P</f>
        <v>. . .</v>
      </c>
      <c r="I375" s="64">
        <f>VFHL</f>
        <v>22.87</v>
      </c>
      <c r="J375" s="64" t="s">
        <v>414</v>
      </c>
      <c r="K375" s="482">
        <f>ROUND(I375*4.6%,2)</f>
        <v>1.05</v>
      </c>
      <c r="L375" s="139"/>
      <c r="M375" s="248" t="s">
        <v>415</v>
      </c>
      <c r="N375" s="638"/>
      <c r="O375" s="655" t="str">
        <f>P</f>
        <v>. . .</v>
      </c>
      <c r="P375" s="234" t="s">
        <v>416</v>
      </c>
      <c r="Q375" s="186">
        <f>TVALUBMETRO</f>
        <v>4.649120000000001</v>
      </c>
      <c r="R375" s="186">
        <f>TVALUBCORSE</f>
        <v>3.0836000000000006</v>
      </c>
      <c r="S375" s="156"/>
      <c r="V375" s="151"/>
      <c r="W375" s="157">
        <v>5900</v>
      </c>
      <c r="X375" s="157"/>
      <c r="Y375" s="141"/>
      <c r="Z375" s="141"/>
      <c r="AA375" s="141"/>
      <c r="AB375" s="196"/>
      <c r="AC375" s="20"/>
      <c r="AD375" s="112"/>
      <c r="AE375" s="31"/>
      <c r="AF375" s="31"/>
      <c r="AG375" s="31"/>
      <c r="AH375" s="31"/>
      <c r="AI375" s="31"/>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row>
    <row r="376" spans="1:59" ht="12.75">
      <c r="A376" s="434"/>
      <c r="B376" s="466"/>
      <c r="C376" s="497" t="s">
        <v>417</v>
      </c>
      <c r="D376" s="669"/>
      <c r="E376" s="432"/>
      <c r="F376" s="140"/>
      <c r="G376" s="108"/>
      <c r="H376" s="109"/>
      <c r="I376" s="64"/>
      <c r="J376" s="64"/>
      <c r="K376" s="202"/>
      <c r="L376" s="139"/>
      <c r="M376" s="248"/>
      <c r="N376" s="638"/>
      <c r="O376" s="655"/>
      <c r="P376" s="234"/>
      <c r="Q376" s="186"/>
      <c r="R376" s="186"/>
      <c r="S376" s="156"/>
      <c r="T376" s="220"/>
      <c r="U376" s="221"/>
      <c r="V376" s="222"/>
      <c r="W376" s="223"/>
      <c r="X376" s="223"/>
      <c r="Y376" s="217"/>
      <c r="Z376" s="217"/>
      <c r="AA376" s="141"/>
      <c r="AB376" s="196"/>
      <c r="AC376" s="20"/>
      <c r="AD376" s="112"/>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row>
    <row r="377" spans="1:59" ht="24" customHeight="1">
      <c r="A377" s="434"/>
      <c r="B377" s="468"/>
      <c r="C377" s="497" t="s">
        <v>418</v>
      </c>
      <c r="D377" s="669"/>
      <c r="E377" s="432"/>
      <c r="F377" s="140"/>
      <c r="G377" s="108"/>
      <c r="H377" s="109"/>
      <c r="I377" s="64"/>
      <c r="J377" s="64"/>
      <c r="K377" s="202"/>
      <c r="L377" s="139"/>
      <c r="M377" s="248"/>
      <c r="N377" s="638"/>
      <c r="O377" s="655"/>
      <c r="P377" s="234"/>
      <c r="Q377" s="186"/>
      <c r="R377" s="186"/>
      <c r="S377" s="156"/>
      <c r="T377" s="149"/>
      <c r="U377" s="150"/>
      <c r="V377" s="151"/>
      <c r="W377" s="152"/>
      <c r="X377" s="152"/>
      <c r="Y377" s="217">
        <v>9181</v>
      </c>
      <c r="Z377" s="217" t="s">
        <v>419</v>
      </c>
      <c r="AA377" s="217"/>
      <c r="AB377" s="196"/>
      <c r="AC377" s="20"/>
      <c r="AD377" s="112"/>
      <c r="AE377" s="31"/>
      <c r="AF377" s="31"/>
      <c r="AG377" s="31"/>
      <c r="AH377" s="31"/>
      <c r="AI377" s="31"/>
      <c r="AJ377" s="31"/>
      <c r="AK377" s="31"/>
      <c r="AL377" s="31"/>
      <c r="AM377" s="31"/>
      <c r="AN377" s="31"/>
      <c r="AO377" s="31"/>
      <c r="AP377" s="31"/>
      <c r="AQ377" s="31"/>
      <c r="AR377" s="31"/>
      <c r="AS377" s="31"/>
      <c r="AT377" s="31"/>
      <c r="AU377" s="31"/>
      <c r="AV377" s="31"/>
      <c r="AW377" s="31"/>
      <c r="AX377" s="31"/>
      <c r="AY377" s="31"/>
      <c r="AZ377" s="31"/>
      <c r="BA377" s="31"/>
      <c r="BB377" s="31"/>
      <c r="BC377" s="31"/>
      <c r="BD377" s="31"/>
      <c r="BE377" s="31"/>
      <c r="BF377" s="31"/>
      <c r="BG377" s="31"/>
    </row>
    <row r="378" spans="1:92" s="429" customFormat="1" ht="13.5" thickBot="1">
      <c r="A378" s="434"/>
      <c r="B378" s="466"/>
      <c r="C378" s="497" t="s">
        <v>420</v>
      </c>
      <c r="D378" s="669"/>
      <c r="E378" s="432"/>
      <c r="F378" s="140"/>
      <c r="G378" s="108"/>
      <c r="H378" s="498"/>
      <c r="I378" s="64"/>
      <c r="J378" s="64"/>
      <c r="K378" s="202"/>
      <c r="L378" s="139"/>
      <c r="M378" s="248"/>
      <c r="N378" s="638"/>
      <c r="O378" s="655"/>
      <c r="P378" s="234"/>
      <c r="Q378" s="186"/>
      <c r="R378" s="186"/>
      <c r="S378" s="156"/>
      <c r="T378" s="220"/>
      <c r="U378" s="221"/>
      <c r="V378" s="222"/>
      <c r="W378" s="223"/>
      <c r="X378" s="223"/>
      <c r="Y378" s="217"/>
      <c r="Z378" s="217"/>
      <c r="AA378" s="141"/>
      <c r="AB378" s="196"/>
      <c r="AC378" s="20"/>
      <c r="AD378" s="21"/>
      <c r="AE378" s="22"/>
      <c r="AF378" s="22"/>
      <c r="AG378" s="22"/>
      <c r="AH378" s="31"/>
      <c r="AI378" s="31"/>
      <c r="AJ378" s="31"/>
      <c r="AK378" s="31"/>
      <c r="AL378" s="31"/>
      <c r="AM378" s="31"/>
      <c r="AN378" s="31"/>
      <c r="AO378" s="31"/>
      <c r="AP378" s="31"/>
      <c r="AQ378" s="31"/>
      <c r="AR378" s="31"/>
      <c r="AS378" s="438"/>
      <c r="AT378" s="438"/>
      <c r="AU378" s="438"/>
      <c r="AV378" s="438"/>
      <c r="AW378" s="438"/>
      <c r="AX378" s="438"/>
      <c r="AY378" s="438"/>
      <c r="AZ378" s="438"/>
      <c r="BA378" s="438"/>
      <c r="BB378" s="438"/>
      <c r="BC378" s="438"/>
      <c r="BD378" s="438"/>
      <c r="BE378" s="438"/>
      <c r="BF378" s="438"/>
      <c r="BG378" s="438"/>
      <c r="BH378" s="428"/>
      <c r="BI378" s="428"/>
      <c r="BJ378" s="428"/>
      <c r="BK378" s="428"/>
      <c r="BL378" s="428"/>
      <c r="BM378" s="428"/>
      <c r="BN378" s="428"/>
      <c r="BO378" s="428"/>
      <c r="BP378" s="428"/>
      <c r="BQ378" s="428"/>
      <c r="BR378" s="428"/>
      <c r="BS378" s="428"/>
      <c r="BT378" s="428"/>
      <c r="BU378" s="428"/>
      <c r="BV378" s="428"/>
      <c r="BW378" s="428"/>
      <c r="BX378" s="428"/>
      <c r="BY378" s="428"/>
      <c r="BZ378" s="428"/>
      <c r="CA378" s="428"/>
      <c r="CB378" s="428"/>
      <c r="CC378" s="428"/>
      <c r="CD378" s="428"/>
      <c r="CE378" s="428"/>
      <c r="CF378" s="428"/>
      <c r="CG378" s="428"/>
      <c r="CH378" s="428"/>
      <c r="CI378" s="428"/>
      <c r="CJ378" s="428"/>
      <c r="CK378" s="428"/>
      <c r="CL378" s="428"/>
      <c r="CM378" s="428"/>
      <c r="CN378" s="428"/>
    </row>
    <row r="379" spans="1:59" ht="18.75">
      <c r="A379" s="447">
        <v>182</v>
      </c>
      <c r="B379" s="290" t="s">
        <v>421</v>
      </c>
      <c r="C379" s="499" t="s">
        <v>422</v>
      </c>
      <c r="D379" s="669" t="s">
        <v>423</v>
      </c>
      <c r="E379" s="432">
        <v>0.065</v>
      </c>
      <c r="F379" s="140"/>
      <c r="G379" s="108" t="s">
        <v>424</v>
      </c>
      <c r="H379" s="498" t="s">
        <v>425</v>
      </c>
      <c r="I379" s="64" t="s">
        <v>426</v>
      </c>
      <c r="J379" s="64" t="str">
        <f>P</f>
        <v>. . .</v>
      </c>
      <c r="K379" s="202">
        <v>0.065</v>
      </c>
      <c r="L379" s="139"/>
      <c r="M379" s="248" t="s">
        <v>427</v>
      </c>
      <c r="N379" s="638"/>
      <c r="O379" s="663">
        <f>TGAP</f>
        <v>3.811</v>
      </c>
      <c r="P379" s="234" t="s">
        <v>428</v>
      </c>
      <c r="Q379" s="186" t="str">
        <f>VI</f>
        <v>(25)</v>
      </c>
      <c r="R379" s="186" t="str">
        <f>VI</f>
        <v>(25)</v>
      </c>
      <c r="S379" s="156"/>
      <c r="T379" s="220">
        <v>5703</v>
      </c>
      <c r="U379" s="221" t="s">
        <v>429</v>
      </c>
      <c r="W379" s="223" t="str">
        <f>t</f>
        <v>TVO</v>
      </c>
      <c r="X379" s="223"/>
      <c r="Y379" s="217"/>
      <c r="Z379" s="217"/>
      <c r="AA379" s="217"/>
      <c r="AB379" s="196"/>
      <c r="AC379" s="20"/>
      <c r="AD379" s="172"/>
      <c r="AE379" s="135"/>
      <c r="AF379" s="135"/>
      <c r="AG379" s="135"/>
      <c r="AH379" s="31"/>
      <c r="AI379" s="31"/>
      <c r="AJ379" s="31"/>
      <c r="AK379" s="31"/>
      <c r="AL379" s="31"/>
      <c r="AM379" s="31"/>
      <c r="AN379" s="31"/>
      <c r="AO379" s="31"/>
      <c r="AP379" s="31"/>
      <c r="AQ379" s="31"/>
      <c r="AR379" s="31"/>
      <c r="AS379" s="31"/>
      <c r="AT379" s="31"/>
      <c r="AU379" s="31"/>
      <c r="AV379" s="31"/>
      <c r="AW379" s="31"/>
      <c r="AX379" s="31"/>
      <c r="AY379" s="31"/>
      <c r="AZ379" s="31"/>
      <c r="BA379" s="31"/>
      <c r="BB379" s="31"/>
      <c r="BC379" s="31"/>
      <c r="BD379" s="31"/>
      <c r="BE379" s="31"/>
      <c r="BF379" s="31"/>
      <c r="BG379" s="31"/>
    </row>
    <row r="380" spans="1:59" ht="12.75">
      <c r="A380" s="434">
        <v>183</v>
      </c>
      <c r="B380" s="74" t="s">
        <v>430</v>
      </c>
      <c r="C380" s="497" t="s">
        <v>431</v>
      </c>
      <c r="D380" s="669" t="s">
        <v>432</v>
      </c>
      <c r="E380" s="432">
        <v>0.065</v>
      </c>
      <c r="F380" s="140"/>
      <c r="G380" s="108" t="s">
        <v>433</v>
      </c>
      <c r="H380" s="498" t="s">
        <v>434</v>
      </c>
      <c r="I380" s="64" t="s">
        <v>435</v>
      </c>
      <c r="J380" s="64" t="str">
        <f>P</f>
        <v>. . .</v>
      </c>
      <c r="K380" s="202">
        <v>0.065</v>
      </c>
      <c r="L380" s="139"/>
      <c r="M380" s="248" t="s">
        <v>436</v>
      </c>
      <c r="N380" s="638"/>
      <c r="O380" s="663" t="str">
        <f>P</f>
        <v>. . .</v>
      </c>
      <c r="P380" s="234" t="s">
        <v>437</v>
      </c>
      <c r="Q380" s="186" t="str">
        <f>VI</f>
        <v>(25)</v>
      </c>
      <c r="R380" s="186" t="str">
        <f>VI</f>
        <v>(25)</v>
      </c>
      <c r="S380" s="156"/>
      <c r="V380" s="222"/>
      <c r="W380" s="223" t="str">
        <f>t</f>
        <v>TVO</v>
      </c>
      <c r="X380" s="223"/>
      <c r="Y380" s="32"/>
      <c r="Z380" s="32"/>
      <c r="AA380" s="217"/>
      <c r="AB380" s="196"/>
      <c r="AC380" s="20"/>
      <c r="AD380" s="172"/>
      <c r="AE380" s="135"/>
      <c r="AF380" s="135"/>
      <c r="AG380" s="135"/>
      <c r="AH380" s="31"/>
      <c r="AI380" s="31"/>
      <c r="AJ380" s="31"/>
      <c r="AK380" s="31"/>
      <c r="AL380" s="31"/>
      <c r="AM380" s="31"/>
      <c r="AN380" s="31"/>
      <c r="AO380" s="31"/>
      <c r="AP380" s="31"/>
      <c r="AQ380" s="31"/>
      <c r="AR380" s="31"/>
      <c r="AS380" s="31"/>
      <c r="AT380" s="31"/>
      <c r="AU380" s="31"/>
      <c r="AV380" s="31"/>
      <c r="AW380" s="31"/>
      <c r="AX380" s="31"/>
      <c r="AY380" s="31"/>
      <c r="AZ380" s="31"/>
      <c r="BA380" s="31"/>
      <c r="BB380" s="31"/>
      <c r="BC380" s="31"/>
      <c r="BD380" s="31"/>
      <c r="BE380" s="31"/>
      <c r="BF380" s="31"/>
      <c r="BG380" s="31"/>
    </row>
    <row r="381" spans="1:59" ht="24" customHeight="1">
      <c r="A381" s="434"/>
      <c r="B381" s="466"/>
      <c r="C381" s="497" t="s">
        <v>438</v>
      </c>
      <c r="D381" s="669"/>
      <c r="E381" s="432"/>
      <c r="F381" s="140"/>
      <c r="G381" s="108"/>
      <c r="H381" s="109"/>
      <c r="I381" s="64"/>
      <c r="J381" s="64"/>
      <c r="K381" s="202"/>
      <c r="L381" s="139"/>
      <c r="M381" s="248"/>
      <c r="N381" s="638"/>
      <c r="O381" s="663"/>
      <c r="P381" s="234"/>
      <c r="Q381" s="186"/>
      <c r="R381" s="186"/>
      <c r="S381" s="224"/>
      <c r="T381" s="220"/>
      <c r="U381" s="221"/>
      <c r="V381" s="222"/>
      <c r="W381" s="223"/>
      <c r="X381" s="223"/>
      <c r="Y381" s="32">
        <v>9181</v>
      </c>
      <c r="Z381" s="18" t="s">
        <v>439</v>
      </c>
      <c r="AA381" s="217"/>
      <c r="AB381" s="196"/>
      <c r="AC381" s="20"/>
      <c r="AD381" s="172"/>
      <c r="AE381" s="135"/>
      <c r="AF381" s="135"/>
      <c r="AG381" s="135"/>
      <c r="AH381" s="31"/>
      <c r="AI381" s="31"/>
      <c r="AJ381" s="31"/>
      <c r="AK381" s="31"/>
      <c r="AL381" s="31"/>
      <c r="AM381" s="31"/>
      <c r="AN381" s="31"/>
      <c r="AO381" s="31"/>
      <c r="AP381" s="31"/>
      <c r="AQ381" s="31"/>
      <c r="AR381" s="31"/>
      <c r="AS381" s="31"/>
      <c r="AT381" s="31"/>
      <c r="AU381" s="31"/>
      <c r="AV381" s="31"/>
      <c r="AW381" s="31"/>
      <c r="AX381" s="31"/>
      <c r="AY381" s="31"/>
      <c r="AZ381" s="31"/>
      <c r="BA381" s="31"/>
      <c r="BB381" s="31"/>
      <c r="BC381" s="31"/>
      <c r="BD381" s="31"/>
      <c r="BE381" s="31"/>
      <c r="BF381" s="31"/>
      <c r="BG381" s="31"/>
    </row>
    <row r="382" spans="1:92" s="450" customFormat="1" ht="12.75">
      <c r="A382" s="434"/>
      <c r="B382" s="1"/>
      <c r="C382" s="500" t="s">
        <v>440</v>
      </c>
      <c r="D382" s="669"/>
      <c r="E382" s="432"/>
      <c r="F382" s="140"/>
      <c r="G382" s="108"/>
      <c r="H382" s="498"/>
      <c r="I382" s="64"/>
      <c r="J382" s="64"/>
      <c r="K382" s="482"/>
      <c r="L382" s="139"/>
      <c r="M382" s="248"/>
      <c r="N382" s="638"/>
      <c r="O382" s="663"/>
      <c r="P382" s="234"/>
      <c r="Q382" s="186"/>
      <c r="R382" s="186"/>
      <c r="S382" s="156"/>
      <c r="T382" s="70"/>
      <c r="U382" s="71"/>
      <c r="V382" s="72"/>
      <c r="W382" s="73"/>
      <c r="X382" s="73"/>
      <c r="Y382" s="32"/>
      <c r="Z382" s="32"/>
      <c r="AA382" s="217"/>
      <c r="AB382" s="196"/>
      <c r="AC382" s="501"/>
      <c r="AD382" s="172"/>
      <c r="AE382" s="135"/>
      <c r="AF382" s="135"/>
      <c r="AG382" s="135"/>
      <c r="AH382" s="31"/>
      <c r="AI382" s="31"/>
      <c r="AJ382" s="31"/>
      <c r="AK382" s="31"/>
      <c r="AL382" s="31"/>
      <c r="AM382" s="31"/>
      <c r="AN382" s="31"/>
      <c r="AO382" s="31"/>
      <c r="AP382" s="31"/>
      <c r="AQ382" s="31"/>
      <c r="AR382" s="31"/>
      <c r="AS382" s="31"/>
      <c r="AT382" s="31"/>
      <c r="AU382" s="31"/>
      <c r="AV382" s="31"/>
      <c r="AW382" s="31"/>
      <c r="AX382" s="31"/>
      <c r="AY382" s="31"/>
      <c r="AZ382" s="31"/>
      <c r="BA382" s="31"/>
      <c r="BB382" s="31"/>
      <c r="BC382" s="31"/>
      <c r="BD382" s="31"/>
      <c r="BE382" s="31"/>
      <c r="BF382" s="31"/>
      <c r="BG382" s="31"/>
      <c r="BH382" s="502"/>
      <c r="BI382" s="502"/>
      <c r="BJ382" s="502"/>
      <c r="BK382" s="502"/>
      <c r="BL382" s="502"/>
      <c r="BM382" s="502"/>
      <c r="BN382" s="502"/>
      <c r="BO382" s="502"/>
      <c r="BP382" s="502"/>
      <c r="BQ382" s="502"/>
      <c r="BR382" s="502"/>
      <c r="BS382" s="502"/>
      <c r="BT382" s="502"/>
      <c r="BU382" s="502"/>
      <c r="BV382" s="502"/>
      <c r="BW382" s="502"/>
      <c r="BX382" s="502"/>
      <c r="BY382" s="502"/>
      <c r="BZ382" s="502"/>
      <c r="CA382" s="502"/>
      <c r="CB382" s="502"/>
      <c r="CC382" s="502"/>
      <c r="CD382" s="502"/>
      <c r="CE382" s="502"/>
      <c r="CF382" s="502"/>
      <c r="CG382" s="502"/>
      <c r="CH382" s="502"/>
      <c r="CI382" s="502"/>
      <c r="CJ382" s="502"/>
      <c r="CK382" s="502"/>
      <c r="CL382" s="502"/>
      <c r="CM382" s="502"/>
      <c r="CN382" s="502"/>
    </row>
    <row r="383" spans="1:59" ht="18.75">
      <c r="A383" s="447">
        <v>184</v>
      </c>
      <c r="B383" s="290" t="s">
        <v>441</v>
      </c>
      <c r="C383" s="499" t="s">
        <v>442</v>
      </c>
      <c r="D383" s="669" t="s">
        <v>443</v>
      </c>
      <c r="E383" s="432">
        <f>4.6%</f>
        <v>0.046</v>
      </c>
      <c r="F383" s="140"/>
      <c r="G383" s="108" t="s">
        <v>444</v>
      </c>
      <c r="H383" s="498" t="s">
        <v>445</v>
      </c>
      <c r="I383" s="64">
        <f>VFHL</f>
        <v>22.87</v>
      </c>
      <c r="J383" s="64" t="s">
        <v>446</v>
      </c>
      <c r="K383" s="482">
        <f>ROUND(I383*4.6%,2)</f>
        <v>1.05</v>
      </c>
      <c r="L383" s="139"/>
      <c r="M383" s="248" t="s">
        <v>447</v>
      </c>
      <c r="N383" s="638"/>
      <c r="O383" s="663">
        <f>TGAP</f>
        <v>3.811</v>
      </c>
      <c r="P383" s="234" t="s">
        <v>448</v>
      </c>
      <c r="Q383" s="186">
        <f>TVATGAPLUBMETRO</f>
        <v>5.396076000000001</v>
      </c>
      <c r="R383" s="186">
        <f>TVATGAPLUBCORSE</f>
        <v>3.5790300000000004</v>
      </c>
      <c r="S383" s="224"/>
      <c r="T383" s="70">
        <v>5703</v>
      </c>
      <c r="U383" s="221" t="s">
        <v>449</v>
      </c>
      <c r="W383" s="226">
        <v>5942</v>
      </c>
      <c r="X383" s="226"/>
      <c r="Y383" s="217"/>
      <c r="Z383" s="217"/>
      <c r="AA383" s="32"/>
      <c r="AB383" s="196"/>
      <c r="AC383" s="20"/>
      <c r="AD383" s="172"/>
      <c r="AE383" s="135"/>
      <c r="AF383" s="135"/>
      <c r="AG383" s="135"/>
      <c r="AH383" s="31"/>
      <c r="AI383" s="31"/>
      <c r="AJ383" s="31"/>
      <c r="AK383" s="31"/>
      <c r="AL383" s="31"/>
      <c r="AM383" s="31"/>
      <c r="AN383" s="31"/>
      <c r="AO383" s="31"/>
      <c r="AP383" s="31"/>
      <c r="AQ383" s="31"/>
      <c r="AR383" s="31"/>
      <c r="AS383" s="31"/>
      <c r="AT383" s="31"/>
      <c r="AU383" s="31"/>
      <c r="AV383" s="31"/>
      <c r="AW383" s="31"/>
      <c r="AX383" s="31"/>
      <c r="AY383" s="31"/>
      <c r="AZ383" s="31"/>
      <c r="BA383" s="31"/>
      <c r="BB383" s="31"/>
      <c r="BC383" s="31"/>
      <c r="BD383" s="31"/>
      <c r="BE383" s="31"/>
      <c r="BF383" s="31"/>
      <c r="BG383" s="31"/>
    </row>
    <row r="384" spans="1:59" ht="24" customHeight="1">
      <c r="A384" s="434">
        <v>185</v>
      </c>
      <c r="B384" s="503" t="s">
        <v>450</v>
      </c>
      <c r="C384" s="497" t="s">
        <v>451</v>
      </c>
      <c r="D384" s="669" t="s">
        <v>452</v>
      </c>
      <c r="E384" s="432">
        <f>4.6%</f>
        <v>0.046</v>
      </c>
      <c r="F384" s="140"/>
      <c r="G384" s="108" t="s">
        <v>453</v>
      </c>
      <c r="H384" s="498" t="s">
        <v>454</v>
      </c>
      <c r="I384" s="64">
        <f>VFHL</f>
        <v>22.87</v>
      </c>
      <c r="J384" s="64" t="s">
        <v>455</v>
      </c>
      <c r="K384" s="482">
        <f>ROUND(I384*4.6%,2)</f>
        <v>1.05</v>
      </c>
      <c r="L384" s="139"/>
      <c r="M384" s="248" t="s">
        <v>456</v>
      </c>
      <c r="N384" s="184"/>
      <c r="O384" s="532" t="str">
        <f>P</f>
        <v>. . .</v>
      </c>
      <c r="P384" s="234" t="s">
        <v>457</v>
      </c>
      <c r="Q384" s="186">
        <f>TVALUBMETRO</f>
        <v>4.649120000000001</v>
      </c>
      <c r="R384" s="186">
        <f>TVALUBCORSE</f>
        <v>3.0836000000000006</v>
      </c>
      <c r="S384" s="224"/>
      <c r="T384" s="444"/>
      <c r="U384" s="445"/>
      <c r="V384" s="72"/>
      <c r="W384" s="226">
        <v>5900</v>
      </c>
      <c r="X384" s="226"/>
      <c r="Y384" s="504">
        <v>9181</v>
      </c>
      <c r="Z384" s="504" t="s">
        <v>458</v>
      </c>
      <c r="AA384" s="32"/>
      <c r="AB384" s="196"/>
      <c r="AC384" s="20"/>
      <c r="AD384" s="172"/>
      <c r="AE384" s="135"/>
      <c r="AF384" s="135"/>
      <c r="AG384" s="135"/>
      <c r="AH384" s="31"/>
      <c r="AI384" s="31"/>
      <c r="AJ384" s="31"/>
      <c r="AK384" s="31"/>
      <c r="AL384" s="31"/>
      <c r="AM384" s="31"/>
      <c r="AN384" s="31"/>
      <c r="AO384" s="31"/>
      <c r="AP384" s="31"/>
      <c r="AQ384" s="31"/>
      <c r="AR384" s="31"/>
      <c r="AS384" s="31"/>
      <c r="AT384" s="31"/>
      <c r="AU384" s="31"/>
      <c r="AV384" s="31"/>
      <c r="AW384" s="31"/>
      <c r="AX384" s="31"/>
      <c r="AY384" s="31"/>
      <c r="AZ384" s="31"/>
      <c r="BA384" s="31"/>
      <c r="BB384" s="31"/>
      <c r="BC384" s="31"/>
      <c r="BD384" s="31"/>
      <c r="BE384" s="31"/>
      <c r="BF384" s="31"/>
      <c r="BG384" s="31"/>
    </row>
    <row r="385" spans="1:59" ht="12.75">
      <c r="A385" s="434"/>
      <c r="B385" s="493"/>
      <c r="C385" s="500" t="s">
        <v>459</v>
      </c>
      <c r="D385" s="669"/>
      <c r="E385" s="432"/>
      <c r="F385" s="140"/>
      <c r="G385" s="108"/>
      <c r="H385" s="498"/>
      <c r="I385" s="64"/>
      <c r="J385" s="64"/>
      <c r="K385" s="482"/>
      <c r="L385" s="139"/>
      <c r="M385" s="248"/>
      <c r="N385" s="638"/>
      <c r="O385" s="655"/>
      <c r="P385" s="234"/>
      <c r="Q385" s="186"/>
      <c r="R385" s="186"/>
      <c r="S385" s="224"/>
      <c r="T385" s="220"/>
      <c r="U385" s="221"/>
      <c r="V385" s="222"/>
      <c r="W385" s="223"/>
      <c r="X385" s="223"/>
      <c r="Y385" s="217"/>
      <c r="Z385" s="217"/>
      <c r="AA385" s="32"/>
      <c r="AB385" s="196"/>
      <c r="AC385" s="20"/>
      <c r="AD385" s="172"/>
      <c r="AE385" s="135"/>
      <c r="AF385" s="135"/>
      <c r="AG385" s="135"/>
      <c r="AH385" s="31"/>
      <c r="AI385" s="31"/>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row>
    <row r="386" spans="1:59" ht="24" customHeight="1">
      <c r="A386" s="447">
        <v>186</v>
      </c>
      <c r="B386" s="290" t="s">
        <v>460</v>
      </c>
      <c r="C386" s="499" t="s">
        <v>461</v>
      </c>
      <c r="D386" s="669" t="s">
        <v>462</v>
      </c>
      <c r="E386" s="432">
        <f>4.6%</f>
        <v>0.046</v>
      </c>
      <c r="F386" s="140"/>
      <c r="G386" s="108" t="s">
        <v>463</v>
      </c>
      <c r="H386" s="498" t="s">
        <v>464</v>
      </c>
      <c r="I386" s="64">
        <f>VFHL</f>
        <v>22.87</v>
      </c>
      <c r="J386" s="64" t="s">
        <v>465</v>
      </c>
      <c r="K386" s="482">
        <f>ROUND(I386*4.6%,2)</f>
        <v>1.05</v>
      </c>
      <c r="L386" s="139"/>
      <c r="M386" s="248" t="s">
        <v>466</v>
      </c>
      <c r="N386" s="638"/>
      <c r="O386" s="663">
        <f>TGAP</f>
        <v>3.811</v>
      </c>
      <c r="P386" s="234" t="s">
        <v>467</v>
      </c>
      <c r="Q386" s="186">
        <f>TVATGAPLUBMETRO</f>
        <v>5.396076000000001</v>
      </c>
      <c r="R386" s="186">
        <f>TVATGAPLUBCORSE</f>
        <v>3.5790300000000004</v>
      </c>
      <c r="S386" s="224"/>
      <c r="T386" s="70">
        <v>5703</v>
      </c>
      <c r="U386" s="221" t="s">
        <v>468</v>
      </c>
      <c r="W386" s="226">
        <v>5942</v>
      </c>
      <c r="X386" s="226"/>
      <c r="Y386" s="504"/>
      <c r="Z386" s="504"/>
      <c r="AA386" s="32"/>
      <c r="AB386" s="196"/>
      <c r="AC386" s="20"/>
      <c r="AD386" s="172"/>
      <c r="AE386" s="135"/>
      <c r="AF386" s="135"/>
      <c r="AG386" s="135"/>
      <c r="AH386" s="31"/>
      <c r="AI386" s="31"/>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c r="BF386" s="31"/>
      <c r="BG386" s="31"/>
    </row>
    <row r="387" spans="1:59" ht="40.5" customHeight="1">
      <c r="A387" s="434"/>
      <c r="B387" s="466"/>
      <c r="C387" s="505" t="s">
        <v>469</v>
      </c>
      <c r="D387" s="675"/>
      <c r="E387" s="695"/>
      <c r="F387" s="240"/>
      <c r="G387" s="238"/>
      <c r="H387" s="238"/>
      <c r="I387" s="235"/>
      <c r="J387" s="235"/>
      <c r="K387" s="239"/>
      <c r="L387" s="239"/>
      <c r="M387" s="248"/>
      <c r="N387" s="31"/>
      <c r="O387" s="526"/>
      <c r="P387" s="240"/>
      <c r="Q387" s="186"/>
      <c r="R387" s="186"/>
      <c r="S387" s="165"/>
      <c r="T387" s="149"/>
      <c r="U387" s="150"/>
      <c r="V387" s="151"/>
      <c r="W387" s="152"/>
      <c r="X387" s="152"/>
      <c r="Y387" s="141"/>
      <c r="Z387" s="141"/>
      <c r="AA387" s="217"/>
      <c r="AB387" s="196"/>
      <c r="AC387" s="20"/>
      <c r="AD387" s="172"/>
      <c r="AE387" s="135"/>
      <c r="AF387" s="135"/>
      <c r="AG387" s="135"/>
      <c r="AH387" s="31"/>
      <c r="AI387" s="31"/>
      <c r="AJ387" s="31"/>
      <c r="AK387" s="31"/>
      <c r="AL387" s="31"/>
      <c r="AM387" s="31"/>
      <c r="AN387" s="31"/>
      <c r="AO387" s="31"/>
      <c r="AP387" s="31"/>
      <c r="AQ387" s="31"/>
      <c r="AR387" s="31"/>
      <c r="AS387" s="31"/>
      <c r="AT387" s="31"/>
      <c r="AU387" s="31"/>
      <c r="AV387" s="31"/>
      <c r="AW387" s="31"/>
      <c r="AX387" s="31"/>
      <c r="AY387" s="31"/>
      <c r="AZ387" s="31"/>
      <c r="BA387" s="31"/>
      <c r="BB387" s="31"/>
      <c r="BC387" s="31"/>
      <c r="BD387" s="31"/>
      <c r="BE387" s="31"/>
      <c r="BF387" s="31"/>
      <c r="BG387" s="31"/>
    </row>
    <row r="388" spans="1:59" ht="12.75">
      <c r="A388" s="434"/>
      <c r="B388" s="466"/>
      <c r="C388" s="506"/>
      <c r="D388" s="669"/>
      <c r="E388" s="432"/>
      <c r="F388" s="140"/>
      <c r="G388" s="108" t="str">
        <f>P</f>
        <v>. . .</v>
      </c>
      <c r="H388" s="373" t="s">
        <v>470</v>
      </c>
      <c r="I388" s="64"/>
      <c r="J388" s="64"/>
      <c r="K388" s="202"/>
      <c r="L388" s="139"/>
      <c r="M388" s="248"/>
      <c r="N388" s="638"/>
      <c r="O388" s="655"/>
      <c r="P388" s="234"/>
      <c r="Q388" s="186"/>
      <c r="R388" s="186"/>
      <c r="S388" s="224"/>
      <c r="T388" s="311"/>
      <c r="U388" s="312"/>
      <c r="AA388" s="217"/>
      <c r="AB388" s="196"/>
      <c r="AC388" s="20"/>
      <c r="AD388" s="172"/>
      <c r="AE388" s="135"/>
      <c r="AF388" s="135"/>
      <c r="AG388" s="135"/>
      <c r="AH388" s="31"/>
      <c r="AI388" s="31"/>
      <c r="AJ388" s="31"/>
      <c r="AK388" s="31"/>
      <c r="AL388" s="31"/>
      <c r="AM388" s="31"/>
      <c r="AN388" s="31"/>
      <c r="AO388" s="31"/>
      <c r="AP388" s="31"/>
      <c r="AQ388" s="31"/>
      <c r="AR388" s="31"/>
      <c r="AS388" s="31"/>
      <c r="AT388" s="31"/>
      <c r="AU388" s="31"/>
      <c r="AV388" s="31"/>
      <c r="AW388" s="31"/>
      <c r="AX388" s="31"/>
      <c r="AY388" s="31"/>
      <c r="AZ388" s="31"/>
      <c r="BA388" s="31"/>
      <c r="BB388" s="31"/>
      <c r="BC388" s="31"/>
      <c r="BD388" s="31"/>
      <c r="BE388" s="31"/>
      <c r="BF388" s="31"/>
      <c r="BG388" s="31"/>
    </row>
    <row r="389" spans="1:62" ht="13.5" thickBot="1">
      <c r="A389" s="458"/>
      <c r="B389" s="474"/>
      <c r="C389" s="507"/>
      <c r="D389" s="671"/>
      <c r="E389" s="689"/>
      <c r="F389" s="690"/>
      <c r="G389" s="191"/>
      <c r="H389" s="378"/>
      <c r="I389" s="708"/>
      <c r="J389" s="708"/>
      <c r="K389" s="491"/>
      <c r="L389" s="193"/>
      <c r="M389" s="194"/>
      <c r="N389" s="641"/>
      <c r="O389" s="662"/>
      <c r="P389" s="644"/>
      <c r="Q389" s="637"/>
      <c r="R389" s="343"/>
      <c r="S389" s="224"/>
      <c r="T389" s="311"/>
      <c r="U389" s="312"/>
      <c r="AA389" s="141"/>
      <c r="AB389" s="196"/>
      <c r="AC389" s="20"/>
      <c r="AD389" s="1"/>
      <c r="AE389" s="135"/>
      <c r="AF389" s="135"/>
      <c r="AG389" s="135"/>
      <c r="AH389" s="31"/>
      <c r="AI389" s="31"/>
      <c r="AJ389" s="31"/>
      <c r="AK389" s="31"/>
      <c r="AL389" s="31"/>
      <c r="AM389" s="31"/>
      <c r="AN389" s="31"/>
      <c r="AO389" s="31"/>
      <c r="AP389" s="31"/>
      <c r="AQ389" s="31"/>
      <c r="AR389" s="31"/>
      <c r="AS389" s="31"/>
      <c r="AT389" s="31"/>
      <c r="AU389" s="31"/>
      <c r="AV389" s="31"/>
      <c r="AW389" s="31"/>
      <c r="AX389" s="31"/>
      <c r="AY389" s="31"/>
      <c r="AZ389" s="31"/>
      <c r="BA389" s="31"/>
      <c r="BB389" s="31"/>
      <c r="BC389" s="31"/>
      <c r="BD389" s="31"/>
      <c r="BE389" s="31"/>
      <c r="BF389" s="31"/>
      <c r="BG389" s="31"/>
      <c r="BJ389" s="172"/>
    </row>
    <row r="390" spans="1:59" ht="12.75">
      <c r="A390" s="434"/>
      <c r="B390" s="509"/>
      <c r="C390" s="510" t="s">
        <v>471</v>
      </c>
      <c r="D390" s="669"/>
      <c r="E390" s="432"/>
      <c r="F390" s="140"/>
      <c r="G390" s="108"/>
      <c r="H390" s="373"/>
      <c r="I390" s="64"/>
      <c r="J390" s="64"/>
      <c r="K390" s="202"/>
      <c r="L390" s="139"/>
      <c r="M390" s="248"/>
      <c r="N390" s="638"/>
      <c r="O390" s="655"/>
      <c r="P390" s="234"/>
      <c r="Q390" s="186"/>
      <c r="R390" s="186"/>
      <c r="S390" s="224"/>
      <c r="T390" s="149"/>
      <c r="U390" s="150"/>
      <c r="V390" s="151"/>
      <c r="W390" s="152"/>
      <c r="X390" s="152"/>
      <c r="Y390" s="141"/>
      <c r="Z390" s="141"/>
      <c r="AA390" s="141"/>
      <c r="AB390" s="196"/>
      <c r="AC390" s="20"/>
      <c r="AD390" s="172"/>
      <c r="AE390" s="135"/>
      <c r="AF390" s="135"/>
      <c r="AG390" s="135"/>
      <c r="AH390" s="31"/>
      <c r="AI390" s="31"/>
      <c r="AJ390" s="31"/>
      <c r="AK390" s="31"/>
      <c r="AL390" s="31"/>
      <c r="AM390" s="31"/>
      <c r="AN390" s="31"/>
      <c r="AO390" s="31"/>
      <c r="AP390" s="31"/>
      <c r="AQ390" s="31"/>
      <c r="AR390" s="31"/>
      <c r="AS390" s="31"/>
      <c r="AT390" s="31"/>
      <c r="AU390" s="31"/>
      <c r="AV390" s="31"/>
      <c r="AW390" s="31"/>
      <c r="AX390" s="31"/>
      <c r="AY390" s="31"/>
      <c r="AZ390" s="31"/>
      <c r="BA390" s="31"/>
      <c r="BB390" s="31"/>
      <c r="BC390" s="31"/>
      <c r="BD390" s="31"/>
      <c r="BE390" s="31"/>
      <c r="BF390" s="31"/>
      <c r="BG390" s="31"/>
    </row>
    <row r="391" spans="1:59" ht="12.75">
      <c r="A391" s="434"/>
      <c r="B391" s="509"/>
      <c r="C391" s="471" t="s">
        <v>472</v>
      </c>
      <c r="D391" s="669"/>
      <c r="E391" s="432"/>
      <c r="F391" s="140"/>
      <c r="G391" s="108"/>
      <c r="H391" s="373"/>
      <c r="I391" s="64"/>
      <c r="J391" s="64"/>
      <c r="K391" s="202"/>
      <c r="L391" s="139"/>
      <c r="M391" s="248"/>
      <c r="N391" s="638"/>
      <c r="O391" s="655"/>
      <c r="P391" s="234"/>
      <c r="Q391" s="186"/>
      <c r="R391" s="186"/>
      <c r="S391" s="156"/>
      <c r="T391" s="149"/>
      <c r="U391" s="150"/>
      <c r="V391" s="151"/>
      <c r="W391" s="152"/>
      <c r="X391" s="152"/>
      <c r="Y391" s="141"/>
      <c r="Z391" s="141"/>
      <c r="AB391" s="196"/>
      <c r="AC391" s="20"/>
      <c r="AD391" s="172"/>
      <c r="AE391" s="135"/>
      <c r="AF391" s="135"/>
      <c r="AG391" s="135"/>
      <c r="AH391" s="31"/>
      <c r="AI391" s="31"/>
      <c r="AJ391" s="31"/>
      <c r="AK391" s="31"/>
      <c r="AL391" s="31"/>
      <c r="AM391" s="31"/>
      <c r="AN391" s="31"/>
      <c r="AO391" s="31"/>
      <c r="AP391" s="31"/>
      <c r="AQ391" s="31"/>
      <c r="AR391" s="31"/>
      <c r="AS391" s="31"/>
      <c r="AT391" s="31"/>
      <c r="AU391" s="31"/>
      <c r="AV391" s="31"/>
      <c r="AW391" s="31"/>
      <c r="AX391" s="31"/>
      <c r="AY391" s="31"/>
      <c r="AZ391" s="31"/>
      <c r="BA391" s="31"/>
      <c r="BB391" s="31"/>
      <c r="BC391" s="31"/>
      <c r="BD391" s="31"/>
      <c r="BE391" s="31"/>
      <c r="BF391" s="31"/>
      <c r="BG391" s="31"/>
    </row>
    <row r="392" spans="1:59" ht="12.75">
      <c r="A392" s="434">
        <v>187</v>
      </c>
      <c r="B392" s="466" t="s">
        <v>473</v>
      </c>
      <c r="C392" s="481" t="s">
        <v>474</v>
      </c>
      <c r="D392" s="669" t="str">
        <f>P</f>
        <v>. . .</v>
      </c>
      <c r="E392" s="432">
        <v>0.065</v>
      </c>
      <c r="F392" s="140"/>
      <c r="G392" s="108" t="str">
        <f>P</f>
        <v>. . .</v>
      </c>
      <c r="H392" s="373" t="s">
        <v>475</v>
      </c>
      <c r="I392" s="64" t="s">
        <v>476</v>
      </c>
      <c r="J392" s="64" t="s">
        <v>477</v>
      </c>
      <c r="K392" s="202">
        <v>0.065</v>
      </c>
      <c r="L392" s="139"/>
      <c r="M392" s="248" t="str">
        <f>"(9)"</f>
        <v>(9)</v>
      </c>
      <c r="N392" s="638"/>
      <c r="O392" s="655" t="str">
        <f>P</f>
        <v>. . .</v>
      </c>
      <c r="P392" s="234" t="s">
        <v>478</v>
      </c>
      <c r="Q392" s="186" t="str">
        <f aca="true" t="shared" si="7" ref="Q392:R394">VI</f>
        <v>(25)</v>
      </c>
      <c r="R392" s="186" t="str">
        <f t="shared" si="7"/>
        <v>(25)</v>
      </c>
      <c r="S392" s="156"/>
      <c r="W392" s="152" t="str">
        <f>t</f>
        <v>TVO</v>
      </c>
      <c r="X392" s="152"/>
      <c r="Y392" s="141">
        <v>4004</v>
      </c>
      <c r="Z392" s="141">
        <v>9348</v>
      </c>
      <c r="AB392" s="196"/>
      <c r="AC392" s="20"/>
      <c r="AD392" s="172"/>
      <c r="AE392" s="135"/>
      <c r="AF392" s="135"/>
      <c r="AG392" s="135"/>
      <c r="AH392" s="31"/>
      <c r="AI392" s="31"/>
      <c r="AJ392" s="31"/>
      <c r="AK392" s="31"/>
      <c r="AL392" s="31"/>
      <c r="AM392" s="31"/>
      <c r="AN392" s="31"/>
      <c r="AO392" s="31"/>
      <c r="AP392" s="31"/>
      <c r="AQ392" s="31"/>
      <c r="AR392" s="31"/>
      <c r="AS392" s="31"/>
      <c r="AT392" s="31"/>
      <c r="AU392" s="31"/>
      <c r="AV392" s="31"/>
      <c r="AW392" s="31"/>
      <c r="AX392" s="31"/>
      <c r="AY392" s="31"/>
      <c r="AZ392" s="31"/>
      <c r="BA392" s="31"/>
      <c r="BB392" s="31"/>
      <c r="BC392" s="31"/>
      <c r="BD392" s="31"/>
      <c r="BE392" s="31"/>
      <c r="BF392" s="31"/>
      <c r="BG392" s="31"/>
    </row>
    <row r="393" spans="1:59" ht="12.75">
      <c r="A393" s="434">
        <v>188</v>
      </c>
      <c r="B393" s="466" t="s">
        <v>479</v>
      </c>
      <c r="C393" s="481" t="s">
        <v>1510</v>
      </c>
      <c r="D393" s="669" t="str">
        <f>P</f>
        <v>. . .</v>
      </c>
      <c r="E393" s="432">
        <v>0.058</v>
      </c>
      <c r="F393" s="140"/>
      <c r="G393" s="108" t="str">
        <f>P</f>
        <v>. . .</v>
      </c>
      <c r="H393" s="373" t="s">
        <v>480</v>
      </c>
      <c r="I393" s="64" t="s">
        <v>481</v>
      </c>
      <c r="J393" s="64" t="s">
        <v>482</v>
      </c>
      <c r="K393" s="202">
        <v>0.058</v>
      </c>
      <c r="L393" s="139"/>
      <c r="M393" s="248" t="str">
        <f>"(9)"</f>
        <v>(9)</v>
      </c>
      <c r="N393" s="638"/>
      <c r="O393" s="655" t="str">
        <f>P</f>
        <v>. . .</v>
      </c>
      <c r="P393" s="234" t="s">
        <v>483</v>
      </c>
      <c r="Q393" s="186" t="str">
        <f t="shared" si="7"/>
        <v>(25)</v>
      </c>
      <c r="R393" s="186" t="str">
        <f t="shared" si="7"/>
        <v>(25)</v>
      </c>
      <c r="S393" s="296"/>
      <c r="W393" s="152" t="str">
        <f>t</f>
        <v>TVO</v>
      </c>
      <c r="X393" s="152"/>
      <c r="Y393" s="141">
        <v>4004</v>
      </c>
      <c r="Z393" s="141">
        <v>9348</v>
      </c>
      <c r="AA393" s="141"/>
      <c r="AB393" s="196"/>
      <c r="AC393" s="20"/>
      <c r="AD393" s="172"/>
      <c r="AE393" s="135"/>
      <c r="AF393" s="135"/>
      <c r="AG393" s="135"/>
      <c r="AH393" s="31"/>
      <c r="AI393" s="31"/>
      <c r="AJ393" s="31"/>
      <c r="AK393" s="31"/>
      <c r="AL393" s="31"/>
      <c r="AM393" s="31"/>
      <c r="AN393" s="31"/>
      <c r="AO393" s="31"/>
      <c r="AP393" s="31"/>
      <c r="AQ393" s="31"/>
      <c r="AR393" s="31"/>
      <c r="AS393" s="31"/>
      <c r="AT393" s="31"/>
      <c r="AU393" s="31"/>
      <c r="AV393" s="31"/>
      <c r="AW393" s="31"/>
      <c r="AX393" s="31"/>
      <c r="AY393" s="31"/>
      <c r="AZ393" s="31"/>
      <c r="BA393" s="31"/>
      <c r="BB393" s="31"/>
      <c r="BC393" s="31"/>
      <c r="BD393" s="31"/>
      <c r="BE393" s="31"/>
      <c r="BF393" s="31"/>
      <c r="BG393" s="31"/>
    </row>
    <row r="394" spans="1:59" ht="12.75">
      <c r="A394" s="434">
        <v>189</v>
      </c>
      <c r="B394" s="466" t="s">
        <v>484</v>
      </c>
      <c r="C394" s="471" t="s">
        <v>1511</v>
      </c>
      <c r="D394" s="669" t="str">
        <f>P</f>
        <v>. . .</v>
      </c>
      <c r="E394" s="432">
        <v>0.058</v>
      </c>
      <c r="F394" s="140"/>
      <c r="G394" s="108" t="str">
        <f>P</f>
        <v>. . .</v>
      </c>
      <c r="H394" s="373" t="s">
        <v>485</v>
      </c>
      <c r="I394" s="64" t="s">
        <v>486</v>
      </c>
      <c r="J394" s="64" t="s">
        <v>487</v>
      </c>
      <c r="K394" s="202">
        <v>0.058</v>
      </c>
      <c r="L394" s="139"/>
      <c r="M394" s="248" t="str">
        <f>"(9)"</f>
        <v>(9)</v>
      </c>
      <c r="N394" s="638"/>
      <c r="O394" s="655" t="str">
        <f>P</f>
        <v>. . .</v>
      </c>
      <c r="P394" s="234" t="s">
        <v>488</v>
      </c>
      <c r="Q394" s="186" t="str">
        <f t="shared" si="7"/>
        <v>(25)</v>
      </c>
      <c r="R394" s="186" t="str">
        <f t="shared" si="7"/>
        <v>(25)</v>
      </c>
      <c r="S394" s="296"/>
      <c r="W394" s="152" t="str">
        <f>t</f>
        <v>TVO</v>
      </c>
      <c r="X394" s="152"/>
      <c r="Y394" s="141">
        <v>4004</v>
      </c>
      <c r="Z394" s="141">
        <v>9348</v>
      </c>
      <c r="AA394" s="141"/>
      <c r="AB394" s="196"/>
      <c r="AC394" s="20"/>
      <c r="AD394" s="172"/>
      <c r="AE394" s="135"/>
      <c r="AF394" s="135"/>
      <c r="AG394" s="135"/>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G394" s="31"/>
    </row>
    <row r="395" spans="1:59" ht="12.75">
      <c r="A395" s="434"/>
      <c r="B395" s="468"/>
      <c r="C395" s="478" t="s">
        <v>489</v>
      </c>
      <c r="D395" s="673"/>
      <c r="E395" s="693"/>
      <c r="F395" s="694"/>
      <c r="G395" s="213"/>
      <c r="H395" s="214"/>
      <c r="I395" s="709"/>
      <c r="J395" s="709"/>
      <c r="K395" s="215"/>
      <c r="L395" s="215"/>
      <c r="M395" s="248"/>
      <c r="N395" s="346"/>
      <c r="O395" s="658"/>
      <c r="P395" s="650"/>
      <c r="Q395" s="186"/>
      <c r="R395" s="186"/>
      <c r="S395" s="156"/>
      <c r="T395" s="70"/>
      <c r="U395" s="71"/>
      <c r="V395" s="72"/>
      <c r="W395" s="73"/>
      <c r="X395" s="73"/>
      <c r="Y395" s="32"/>
      <c r="Z395" s="32"/>
      <c r="AA395" s="141"/>
      <c r="AB395" s="196"/>
      <c r="AC395" s="20"/>
      <c r="AD395" s="172"/>
      <c r="AE395" s="135"/>
      <c r="AF395" s="135"/>
      <c r="AG395" s="135"/>
      <c r="AH395" s="31"/>
      <c r="AI395" s="31"/>
      <c r="AJ395" s="31"/>
      <c r="AK395" s="31"/>
      <c r="AL395" s="31"/>
      <c r="AM395" s="31"/>
      <c r="AN395" s="31"/>
      <c r="AO395" s="31"/>
      <c r="AP395" s="31"/>
      <c r="AQ395" s="31"/>
      <c r="AR395" s="31"/>
      <c r="AS395" s="31"/>
      <c r="AT395" s="31"/>
      <c r="AU395" s="31"/>
      <c r="AV395" s="31"/>
      <c r="AW395" s="31"/>
      <c r="AX395" s="31"/>
      <c r="AY395" s="31"/>
      <c r="AZ395" s="31"/>
      <c r="BA395" s="31"/>
      <c r="BB395" s="31"/>
      <c r="BC395" s="31"/>
      <c r="BD395" s="31"/>
      <c r="BE395" s="31"/>
      <c r="BF395" s="31"/>
      <c r="BG395" s="31"/>
    </row>
    <row r="396" spans="1:59" ht="12.75">
      <c r="A396" s="434"/>
      <c r="B396" s="466"/>
      <c r="C396" s="471" t="s">
        <v>490</v>
      </c>
      <c r="D396" s="669"/>
      <c r="E396" s="432"/>
      <c r="F396" s="140"/>
      <c r="G396" s="108"/>
      <c r="H396" s="109"/>
      <c r="I396" s="64"/>
      <c r="J396" s="64"/>
      <c r="K396" s="139"/>
      <c r="L396" s="139"/>
      <c r="M396" s="248"/>
      <c r="N396" s="638"/>
      <c r="O396" s="655"/>
      <c r="P396" s="234"/>
      <c r="Q396" s="186"/>
      <c r="R396" s="186"/>
      <c r="S396" s="156"/>
      <c r="T396" s="149"/>
      <c r="U396" s="150"/>
      <c r="V396" s="151"/>
      <c r="W396" s="152"/>
      <c r="X396" s="152"/>
      <c r="Y396" s="141"/>
      <c r="Z396" s="141"/>
      <c r="AA396" s="141"/>
      <c r="AB396" s="196"/>
      <c r="AC396" s="20"/>
      <c r="AD396" s="172"/>
      <c r="AE396" s="135"/>
      <c r="AF396" s="135"/>
      <c r="AG396" s="135"/>
      <c r="AH396" s="31"/>
      <c r="AI396" s="31"/>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row>
    <row r="397" spans="1:59" ht="12.75">
      <c r="A397" s="434"/>
      <c r="B397" s="466"/>
      <c r="C397" s="481" t="s">
        <v>491</v>
      </c>
      <c r="D397" s="669"/>
      <c r="E397" s="432"/>
      <c r="F397" s="140"/>
      <c r="G397" s="108"/>
      <c r="H397" s="109"/>
      <c r="I397" s="64"/>
      <c r="J397" s="64"/>
      <c r="K397" s="139"/>
      <c r="L397" s="139"/>
      <c r="M397" s="248"/>
      <c r="N397" s="638"/>
      <c r="O397" s="655"/>
      <c r="P397" s="234"/>
      <c r="Q397" s="186"/>
      <c r="R397" s="186"/>
      <c r="S397" s="156"/>
      <c r="T397" s="50"/>
      <c r="U397" s="51"/>
      <c r="V397" s="52"/>
      <c r="W397" s="53"/>
      <c r="X397" s="53"/>
      <c r="Y397" s="18"/>
      <c r="Z397" s="18"/>
      <c r="AA397" s="32"/>
      <c r="AB397" s="196"/>
      <c r="AC397" s="20"/>
      <c r="AD397" s="172"/>
      <c r="AE397" s="135"/>
      <c r="AF397" s="135"/>
      <c r="AG397" s="135"/>
      <c r="AH397" s="31"/>
      <c r="AI397" s="31"/>
      <c r="AJ397" s="31"/>
      <c r="AK397" s="31"/>
      <c r="AL397" s="31"/>
      <c r="AM397" s="31"/>
      <c r="AN397" s="31"/>
      <c r="AO397" s="31"/>
      <c r="AP397" s="31"/>
      <c r="AQ397" s="31"/>
      <c r="AR397" s="31"/>
      <c r="AS397" s="31"/>
      <c r="AT397" s="31"/>
      <c r="AU397" s="31"/>
      <c r="AV397" s="31"/>
      <c r="AW397" s="31"/>
      <c r="AX397" s="31"/>
      <c r="AY397" s="31"/>
      <c r="AZ397" s="31"/>
      <c r="BA397" s="31"/>
      <c r="BB397" s="31"/>
      <c r="BC397" s="31"/>
      <c r="BD397" s="31"/>
      <c r="BE397" s="31"/>
      <c r="BF397" s="31"/>
      <c r="BG397" s="31"/>
    </row>
    <row r="398" spans="1:59" ht="12.75">
      <c r="A398" s="434"/>
      <c r="B398" s="466"/>
      <c r="C398" s="481" t="s">
        <v>1512</v>
      </c>
      <c r="D398" s="669"/>
      <c r="E398" s="432"/>
      <c r="F398" s="140"/>
      <c r="G398" s="108"/>
      <c r="H398" s="109"/>
      <c r="I398" s="64"/>
      <c r="J398" s="64"/>
      <c r="K398" s="201"/>
      <c r="L398" s="139"/>
      <c r="M398" s="248"/>
      <c r="N398" s="638"/>
      <c r="O398" s="655"/>
      <c r="P398" s="234"/>
      <c r="Q398" s="186"/>
      <c r="R398" s="186"/>
      <c r="S398" s="156"/>
      <c r="T398" s="149"/>
      <c r="U398" s="150"/>
      <c r="V398" s="151"/>
      <c r="W398" s="152"/>
      <c r="X398" s="152"/>
      <c r="Y398" s="141"/>
      <c r="Z398" s="141"/>
      <c r="AA398" s="32"/>
      <c r="AB398" s="196"/>
      <c r="AC398" s="20"/>
      <c r="AD398" s="172"/>
      <c r="AE398" s="135"/>
      <c r="AF398" s="135"/>
      <c r="AG398" s="135"/>
      <c r="AH398" s="31"/>
      <c r="AI398" s="31"/>
      <c r="AJ398" s="31"/>
      <c r="AK398" s="31"/>
      <c r="AL398" s="31"/>
      <c r="AM398" s="31"/>
      <c r="AN398" s="31"/>
      <c r="AO398" s="31"/>
      <c r="AP398" s="31"/>
      <c r="AQ398" s="31"/>
      <c r="AR398" s="31"/>
      <c r="AS398" s="31"/>
      <c r="AT398" s="31"/>
      <c r="AU398" s="31"/>
      <c r="AV398" s="31"/>
      <c r="AW398" s="31"/>
      <c r="AX398" s="31"/>
      <c r="AY398" s="31"/>
      <c r="AZ398" s="31"/>
      <c r="BA398" s="31"/>
      <c r="BB398" s="31"/>
      <c r="BC398" s="31"/>
      <c r="BD398" s="31"/>
      <c r="BE398" s="31"/>
      <c r="BF398" s="31"/>
      <c r="BG398" s="31"/>
    </row>
    <row r="399" spans="1:59" ht="24" customHeight="1">
      <c r="A399" s="447">
        <v>190</v>
      </c>
      <c r="B399" s="290" t="s">
        <v>492</v>
      </c>
      <c r="C399" s="499" t="s">
        <v>442</v>
      </c>
      <c r="D399" s="669" t="str">
        <f>P</f>
        <v>. . .</v>
      </c>
      <c r="E399" s="432">
        <f>5.3%</f>
        <v>0.053</v>
      </c>
      <c r="F399" s="140"/>
      <c r="G399" s="108" t="str">
        <f>P</f>
        <v>. . .</v>
      </c>
      <c r="H399" s="109" t="str">
        <f>P</f>
        <v>. . .</v>
      </c>
      <c r="I399" s="64">
        <f>VFADDITIF</f>
        <v>106.71</v>
      </c>
      <c r="J399" s="64" t="s">
        <v>241</v>
      </c>
      <c r="K399" s="201">
        <f>ROUND(I399*5.3%,2)</f>
        <v>5.66</v>
      </c>
      <c r="L399" s="139"/>
      <c r="M399" s="248" t="s">
        <v>1527</v>
      </c>
      <c r="N399" s="638"/>
      <c r="O399" s="663">
        <f>TGAP</f>
        <v>3.811</v>
      </c>
      <c r="P399" s="234" t="s">
        <v>1530</v>
      </c>
      <c r="Q399" s="186">
        <f>SUM(I399:P399)*19.6%</f>
        <v>22.771475999999996</v>
      </c>
      <c r="R399" s="186">
        <f>SUM(I399:P399)*13%</f>
        <v>15.103529999999997</v>
      </c>
      <c r="S399" s="165"/>
      <c r="T399" s="149">
        <v>5703</v>
      </c>
      <c r="U399" s="150"/>
      <c r="W399" s="152">
        <v>5964</v>
      </c>
      <c r="X399" s="152"/>
      <c r="Y399" s="141">
        <v>9181</v>
      </c>
      <c r="Z399" s="18" t="s">
        <v>1590</v>
      </c>
      <c r="AA399" s="141"/>
      <c r="AB399" s="196"/>
      <c r="AC399" s="20"/>
      <c r="AD399" s="172"/>
      <c r="AE399" s="172"/>
      <c r="AF399" s="172"/>
      <c r="AG399" s="172"/>
      <c r="AH399" s="31"/>
      <c r="AI399" s="31"/>
      <c r="AJ399" s="31"/>
      <c r="AK399" s="31"/>
      <c r="AL399" s="31"/>
      <c r="AM399" s="31"/>
      <c r="AN399" s="31"/>
      <c r="AO399" s="31"/>
      <c r="AP399" s="31"/>
      <c r="AQ399" s="31"/>
      <c r="AR399" s="31"/>
      <c r="AS399" s="31"/>
      <c r="AT399" s="31"/>
      <c r="AU399" s="31"/>
      <c r="AV399" s="31"/>
      <c r="AW399" s="31"/>
      <c r="AX399" s="31"/>
      <c r="AY399" s="31"/>
      <c r="AZ399" s="31"/>
      <c r="BA399" s="31"/>
      <c r="BB399" s="31"/>
      <c r="BC399" s="31"/>
      <c r="BD399" s="31"/>
      <c r="BE399" s="31"/>
      <c r="BF399" s="31"/>
      <c r="BG399" s="31"/>
    </row>
    <row r="400" spans="1:59" ht="12.75">
      <c r="A400" s="434">
        <v>191</v>
      </c>
      <c r="B400" s="74" t="s">
        <v>493</v>
      </c>
      <c r="C400" s="497" t="s">
        <v>1509</v>
      </c>
      <c r="D400" s="669" t="str">
        <f>P</f>
        <v>. . .</v>
      </c>
      <c r="E400" s="432">
        <f>5.3%</f>
        <v>0.053</v>
      </c>
      <c r="F400" s="140"/>
      <c r="G400" s="108" t="str">
        <f>P</f>
        <v>. . .</v>
      </c>
      <c r="H400" s="109" t="str">
        <f>P</f>
        <v>. . .</v>
      </c>
      <c r="I400" s="64">
        <f>VFADDITIF</f>
        <v>106.71</v>
      </c>
      <c r="J400" s="64" t="s">
        <v>241</v>
      </c>
      <c r="K400" s="201">
        <f>ROUND(I400*5.3%,2)</f>
        <v>5.66</v>
      </c>
      <c r="L400" s="139"/>
      <c r="M400" s="248" t="s">
        <v>1527</v>
      </c>
      <c r="N400" s="638"/>
      <c r="O400" s="663" t="str">
        <f>P</f>
        <v>. . .</v>
      </c>
      <c r="P400" s="234" t="s">
        <v>1530</v>
      </c>
      <c r="Q400" s="186">
        <f>SUM(I400:P400)*19.6%</f>
        <v>22.02452</v>
      </c>
      <c r="R400" s="186">
        <f>SUM(I400:P400)*13%</f>
        <v>14.608099999999999</v>
      </c>
      <c r="S400" s="165"/>
      <c r="V400" s="151"/>
      <c r="W400" s="152">
        <v>5920</v>
      </c>
      <c r="X400" s="152"/>
      <c r="Y400" s="141"/>
      <c r="Z400" s="141"/>
      <c r="AA400" s="18"/>
      <c r="AB400" s="196"/>
      <c r="AC400" s="20"/>
      <c r="AD400" s="172"/>
      <c r="AE400" s="172"/>
      <c r="AF400" s="172"/>
      <c r="AG400" s="172"/>
      <c r="AH400" s="31"/>
      <c r="AI400" s="31"/>
      <c r="AJ400" s="31"/>
      <c r="AK400" s="31"/>
      <c r="AL400" s="31"/>
      <c r="AM400" s="31"/>
      <c r="AN400" s="31"/>
      <c r="AO400" s="31"/>
      <c r="AP400" s="31"/>
      <c r="AQ400" s="31"/>
      <c r="AR400" s="31"/>
      <c r="AS400" s="31"/>
      <c r="AT400" s="31"/>
      <c r="AU400" s="31"/>
      <c r="AV400" s="31"/>
      <c r="AW400" s="31"/>
      <c r="AX400" s="31"/>
      <c r="AY400" s="31"/>
      <c r="AZ400" s="31"/>
      <c r="BA400" s="31"/>
      <c r="BB400" s="31"/>
      <c r="BC400" s="31"/>
      <c r="BD400" s="31"/>
      <c r="BE400" s="31"/>
      <c r="BF400" s="31"/>
      <c r="BG400" s="31"/>
    </row>
    <row r="401" spans="1:59" ht="18.75">
      <c r="A401" s="434"/>
      <c r="B401" s="74"/>
      <c r="C401" s="743" t="s">
        <v>1506</v>
      </c>
      <c r="D401" s="669"/>
      <c r="E401" s="432"/>
      <c r="F401" s="140"/>
      <c r="G401" s="108"/>
      <c r="H401" s="109"/>
      <c r="I401" s="64"/>
      <c r="J401" s="64"/>
      <c r="K401" s="201"/>
      <c r="L401" s="139"/>
      <c r="M401" s="248"/>
      <c r="N401" s="638"/>
      <c r="O401" s="663"/>
      <c r="P401" s="234"/>
      <c r="Q401" s="186"/>
      <c r="R401" s="186"/>
      <c r="S401" s="165"/>
      <c r="V401" s="151"/>
      <c r="W401" s="152"/>
      <c r="X401" s="152"/>
      <c r="Y401" s="141"/>
      <c r="Z401" s="141"/>
      <c r="AA401" s="18"/>
      <c r="AB401" s="196"/>
      <c r="AC401" s="20"/>
      <c r="AD401" s="172"/>
      <c r="AE401" s="172"/>
      <c r="AF401" s="172"/>
      <c r="AG401" s="172"/>
      <c r="AH401" s="31"/>
      <c r="AI401" s="31"/>
      <c r="AJ401" s="31"/>
      <c r="AK401" s="31"/>
      <c r="AL401" s="31"/>
      <c r="AM401" s="31"/>
      <c r="AN401" s="31"/>
      <c r="AO401" s="31"/>
      <c r="AP401" s="31"/>
      <c r="AQ401" s="31"/>
      <c r="AR401" s="31"/>
      <c r="AS401" s="31"/>
      <c r="AT401" s="31"/>
      <c r="AU401" s="31"/>
      <c r="AV401" s="31"/>
      <c r="AW401" s="31"/>
      <c r="AX401" s="31"/>
      <c r="AY401" s="31"/>
      <c r="AZ401" s="31"/>
      <c r="BA401" s="31"/>
      <c r="BB401" s="31"/>
      <c r="BC401" s="31"/>
      <c r="BD401" s="31"/>
      <c r="BE401" s="31"/>
      <c r="BF401" s="31"/>
      <c r="BG401" s="31"/>
    </row>
    <row r="402" spans="1:59" ht="24" customHeight="1">
      <c r="A402" s="447">
        <v>192</v>
      </c>
      <c r="B402" s="290" t="s">
        <v>1507</v>
      </c>
      <c r="C402" s="499" t="s">
        <v>442</v>
      </c>
      <c r="D402" s="669" t="str">
        <f>P</f>
        <v>. . .</v>
      </c>
      <c r="E402" s="432">
        <f>5.3%</f>
        <v>0.053</v>
      </c>
      <c r="F402" s="140"/>
      <c r="G402" s="108" t="str">
        <f>P</f>
        <v>. . .</v>
      </c>
      <c r="H402" s="109" t="str">
        <f>P</f>
        <v>. . .</v>
      </c>
      <c r="I402" s="64">
        <f>VFADDITIF</f>
        <v>106.71</v>
      </c>
      <c r="J402" s="64" t="s">
        <v>241</v>
      </c>
      <c r="K402" s="201">
        <f>ROUND(I402*5.3%,2)</f>
        <v>5.66</v>
      </c>
      <c r="L402" s="139"/>
      <c r="M402" s="248" t="s">
        <v>1527</v>
      </c>
      <c r="N402" s="638"/>
      <c r="O402" s="663">
        <f>TGAP</f>
        <v>3.811</v>
      </c>
      <c r="P402" s="234" t="s">
        <v>1530</v>
      </c>
      <c r="Q402" s="186">
        <f>SUM(I402:P402)*19.6%</f>
        <v>22.771475999999996</v>
      </c>
      <c r="R402" s="186">
        <f>SUM(I402:P402)*13%</f>
        <v>15.103529999999997</v>
      </c>
      <c r="S402" s="165"/>
      <c r="T402" s="149">
        <v>5703</v>
      </c>
      <c r="U402" s="150"/>
      <c r="W402" s="152">
        <v>5964</v>
      </c>
      <c r="X402" s="152"/>
      <c r="Y402" s="141">
        <v>9181</v>
      </c>
      <c r="Z402" s="18" t="s">
        <v>1590</v>
      </c>
      <c r="AA402" s="141"/>
      <c r="AB402" s="196"/>
      <c r="AC402" s="20"/>
      <c r="AD402" s="172"/>
      <c r="AE402" s="172"/>
      <c r="AF402" s="172"/>
      <c r="AG402" s="172"/>
      <c r="AH402" s="31"/>
      <c r="AI402" s="31"/>
      <c r="AJ402" s="31"/>
      <c r="AK402" s="31"/>
      <c r="AL402" s="31"/>
      <c r="AM402" s="31"/>
      <c r="AN402" s="31"/>
      <c r="AO402" s="31"/>
      <c r="AP402" s="31"/>
      <c r="AQ402" s="31"/>
      <c r="AR402" s="31"/>
      <c r="AS402" s="31"/>
      <c r="AT402" s="31"/>
      <c r="AU402" s="31"/>
      <c r="AV402" s="31"/>
      <c r="AW402" s="31"/>
      <c r="AX402" s="31"/>
      <c r="AY402" s="31"/>
      <c r="AZ402" s="31"/>
      <c r="BA402" s="31"/>
      <c r="BB402" s="31"/>
      <c r="BC402" s="31"/>
      <c r="BD402" s="31"/>
      <c r="BE402" s="31"/>
      <c r="BF402" s="31"/>
      <c r="BG402" s="31"/>
    </row>
    <row r="403" spans="1:59" ht="12.75">
      <c r="A403" s="434">
        <v>193</v>
      </c>
      <c r="B403" s="74" t="s">
        <v>1508</v>
      </c>
      <c r="C403" s="497" t="s">
        <v>1509</v>
      </c>
      <c r="D403" s="669" t="str">
        <f>P</f>
        <v>. . .</v>
      </c>
      <c r="E403" s="432">
        <f>5.3%</f>
        <v>0.053</v>
      </c>
      <c r="F403" s="140"/>
      <c r="G403" s="108" t="str">
        <f>P</f>
        <v>. . .</v>
      </c>
      <c r="H403" s="109" t="str">
        <f>P</f>
        <v>. . .</v>
      </c>
      <c r="I403" s="64">
        <f>VFADDITIF</f>
        <v>106.71</v>
      </c>
      <c r="J403" s="64" t="s">
        <v>241</v>
      </c>
      <c r="K403" s="201">
        <f>ROUND(I403*5.3%,2)</f>
        <v>5.66</v>
      </c>
      <c r="L403" s="139"/>
      <c r="M403" s="248" t="s">
        <v>1527</v>
      </c>
      <c r="N403" s="638"/>
      <c r="O403" s="663" t="str">
        <f>P</f>
        <v>. . .</v>
      </c>
      <c r="P403" s="234" t="s">
        <v>1530</v>
      </c>
      <c r="Q403" s="186">
        <f>SUM(I403:P403)*19.6%</f>
        <v>22.02452</v>
      </c>
      <c r="R403" s="186">
        <f>SUM(I403:P403)*13%</f>
        <v>14.608099999999999</v>
      </c>
      <c r="S403" s="165"/>
      <c r="V403" s="151"/>
      <c r="W403" s="152">
        <v>5920</v>
      </c>
      <c r="X403" s="152"/>
      <c r="Y403" s="141"/>
      <c r="Z403" s="141"/>
      <c r="AA403" s="18"/>
      <c r="AB403" s="196"/>
      <c r="AC403" s="20"/>
      <c r="AD403" s="172"/>
      <c r="AE403" s="172"/>
      <c r="AF403" s="172"/>
      <c r="AG403" s="172"/>
      <c r="AH403" s="31"/>
      <c r="AI403" s="31"/>
      <c r="AJ403" s="31"/>
      <c r="AK403" s="31"/>
      <c r="AL403" s="31"/>
      <c r="AM403" s="31"/>
      <c r="AN403" s="31"/>
      <c r="AO403" s="31"/>
      <c r="AP403" s="31"/>
      <c r="AQ403" s="31"/>
      <c r="AR403" s="31"/>
      <c r="AS403" s="31"/>
      <c r="AT403" s="31"/>
      <c r="AU403" s="31"/>
      <c r="AV403" s="31"/>
      <c r="AW403" s="31"/>
      <c r="AX403" s="31"/>
      <c r="AY403" s="31"/>
      <c r="AZ403" s="31"/>
      <c r="BA403" s="31"/>
      <c r="BB403" s="31"/>
      <c r="BC403" s="31"/>
      <c r="BD403" s="31"/>
      <c r="BE403" s="31"/>
      <c r="BF403" s="31"/>
      <c r="BG403" s="31"/>
    </row>
    <row r="404" spans="1:59" ht="12.75">
      <c r="A404" s="434"/>
      <c r="B404" s="466"/>
      <c r="C404" s="481" t="s">
        <v>494</v>
      </c>
      <c r="D404" s="669"/>
      <c r="E404" s="432"/>
      <c r="F404" s="140"/>
      <c r="G404" s="372"/>
      <c r="H404" s="109"/>
      <c r="I404" s="64"/>
      <c r="J404" s="64"/>
      <c r="K404" s="201"/>
      <c r="L404" s="139"/>
      <c r="M404" s="248"/>
      <c r="N404" s="638"/>
      <c r="O404" s="663"/>
      <c r="P404" s="234"/>
      <c r="Q404" s="186"/>
      <c r="R404" s="186"/>
      <c r="S404" s="156"/>
      <c r="T404" s="149"/>
      <c r="U404" s="150"/>
      <c r="V404" s="151"/>
      <c r="W404" s="152"/>
      <c r="X404" s="152"/>
      <c r="Y404" s="141"/>
      <c r="Z404" s="141"/>
      <c r="AA404" s="141"/>
      <c r="AC404" s="20"/>
      <c r="AD404" s="172"/>
      <c r="AE404" s="172"/>
      <c r="AF404" s="172"/>
      <c r="AG404" s="172"/>
      <c r="AH404" s="31"/>
      <c r="AI404" s="31"/>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c r="BF404" s="31"/>
      <c r="BG404" s="31"/>
    </row>
    <row r="405" spans="1:59" ht="24" customHeight="1">
      <c r="A405" s="447">
        <v>194</v>
      </c>
      <c r="B405" s="290" t="s">
        <v>495</v>
      </c>
      <c r="C405" s="499" t="s">
        <v>442</v>
      </c>
      <c r="D405" s="669" t="str">
        <f>P</f>
        <v>. . .</v>
      </c>
      <c r="E405" s="432">
        <f>5.3%</f>
        <v>0.053</v>
      </c>
      <c r="F405" s="140"/>
      <c r="G405" s="108" t="str">
        <f>P</f>
        <v>. . .</v>
      </c>
      <c r="H405" s="109" t="str">
        <f>P</f>
        <v>. . .</v>
      </c>
      <c r="I405" s="64">
        <f>VFADDITIF</f>
        <v>106.71</v>
      </c>
      <c r="J405" s="64" t="s">
        <v>241</v>
      </c>
      <c r="K405" s="201">
        <f>ROUND(I405*5.3%,2)</f>
        <v>5.66</v>
      </c>
      <c r="L405" s="139"/>
      <c r="M405" s="248" t="s">
        <v>1527</v>
      </c>
      <c r="N405" s="638"/>
      <c r="O405" s="663">
        <f>TGAP</f>
        <v>3.811</v>
      </c>
      <c r="P405" s="234" t="s">
        <v>1530</v>
      </c>
      <c r="Q405" s="186">
        <f>ADDLUBTGAPMETRO</f>
        <v>22.771475999999996</v>
      </c>
      <c r="R405" s="186">
        <f>ADDLUBTGAPCORSE</f>
        <v>15.103529999999997</v>
      </c>
      <c r="S405" s="49"/>
      <c r="T405" s="149">
        <v>5703</v>
      </c>
      <c r="U405" s="150"/>
      <c r="W405" s="152">
        <v>5964</v>
      </c>
      <c r="X405" s="152"/>
      <c r="Y405" s="141">
        <v>9181</v>
      </c>
      <c r="Z405" s="18" t="s">
        <v>1590</v>
      </c>
      <c r="AA405" s="141"/>
      <c r="AC405" s="20"/>
      <c r="AD405" s="172"/>
      <c r="AE405" s="172"/>
      <c r="AF405" s="511"/>
      <c r="AG405" s="511"/>
      <c r="AH405" s="31"/>
      <c r="AI405" s="31"/>
      <c r="AJ405" s="31"/>
      <c r="AK405" s="31"/>
      <c r="AL405" s="31"/>
      <c r="AM405" s="31"/>
      <c r="AN405" s="31"/>
      <c r="AO405" s="31"/>
      <c r="AP405" s="31"/>
      <c r="AQ405" s="31"/>
      <c r="AR405" s="31"/>
      <c r="AS405" s="31"/>
      <c r="AT405" s="31"/>
      <c r="AU405" s="31"/>
      <c r="AV405" s="31"/>
      <c r="AW405" s="31"/>
      <c r="AX405" s="31"/>
      <c r="AY405" s="31"/>
      <c r="AZ405" s="31"/>
      <c r="BA405" s="31"/>
      <c r="BB405" s="31"/>
      <c r="BC405" s="31"/>
      <c r="BD405" s="31"/>
      <c r="BE405" s="31"/>
      <c r="BF405" s="31"/>
      <c r="BG405" s="31"/>
    </row>
    <row r="406" spans="1:59" ht="12.75">
      <c r="A406" s="434">
        <v>195</v>
      </c>
      <c r="B406" s="74" t="s">
        <v>496</v>
      </c>
      <c r="C406" s="497" t="s">
        <v>1509</v>
      </c>
      <c r="D406" s="669" t="str">
        <f>P</f>
        <v>. . .</v>
      </c>
      <c r="E406" s="432">
        <f>5.3%</f>
        <v>0.053</v>
      </c>
      <c r="F406" s="140"/>
      <c r="G406" s="108" t="str">
        <f>P</f>
        <v>. . .</v>
      </c>
      <c r="H406" s="109" t="str">
        <f>P</f>
        <v>. . .</v>
      </c>
      <c r="I406" s="64">
        <f>VFADDITIF</f>
        <v>106.71</v>
      </c>
      <c r="J406" s="64" t="s">
        <v>241</v>
      </c>
      <c r="K406" s="201">
        <f>ROUND(I406*5.3%,2)</f>
        <v>5.66</v>
      </c>
      <c r="L406" s="139"/>
      <c r="M406" s="248" t="s">
        <v>1527</v>
      </c>
      <c r="N406" s="638"/>
      <c r="O406" s="655" t="str">
        <f>P</f>
        <v>. . .</v>
      </c>
      <c r="P406" s="234" t="s">
        <v>1530</v>
      </c>
      <c r="Q406" s="186">
        <f>ADDLUBMETRO</f>
        <v>22.02452</v>
      </c>
      <c r="R406" s="186">
        <f>ADDLUBCORSE</f>
        <v>14.608099999999999</v>
      </c>
      <c r="S406" s="156"/>
      <c r="V406" s="151"/>
      <c r="W406" s="152">
        <v>5920</v>
      </c>
      <c r="X406" s="152"/>
      <c r="Y406" s="141"/>
      <c r="Z406" s="141"/>
      <c r="AA406" s="141"/>
      <c r="AB406" s="196"/>
      <c r="AC406" s="20"/>
      <c r="AD406" s="172"/>
      <c r="AE406" s="135"/>
      <c r="AF406" s="511"/>
      <c r="AG406" s="51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row>
    <row r="407" spans="1:59" ht="12.75">
      <c r="A407" s="434">
        <v>196</v>
      </c>
      <c r="B407" s="74" t="s">
        <v>1517</v>
      </c>
      <c r="C407" s="497" t="s">
        <v>1518</v>
      </c>
      <c r="D407" s="669" t="str">
        <f>P</f>
        <v>. . .</v>
      </c>
      <c r="E407" s="432">
        <f>TEC381190</f>
        <v>0.058</v>
      </c>
      <c r="F407" s="140"/>
      <c r="G407" s="372" t="s">
        <v>1713</v>
      </c>
      <c r="H407" s="109" t="s">
        <v>1713</v>
      </c>
      <c r="I407" s="64" t="s">
        <v>172</v>
      </c>
      <c r="J407" s="64" t="s">
        <v>1713</v>
      </c>
      <c r="K407" s="202">
        <f>TEC381190</f>
        <v>0.058</v>
      </c>
      <c r="L407" s="139"/>
      <c r="M407" s="248" t="s">
        <v>1527</v>
      </c>
      <c r="N407" s="638"/>
      <c r="O407" s="655" t="str">
        <f>P</f>
        <v>. . .</v>
      </c>
      <c r="P407" s="234" t="s">
        <v>1530</v>
      </c>
      <c r="Q407" s="186" t="str">
        <f>VI</f>
        <v>(25)</v>
      </c>
      <c r="R407" s="186" t="str">
        <f>VI</f>
        <v>(25)</v>
      </c>
      <c r="S407" s="156"/>
      <c r="V407" s="151"/>
      <c r="W407" s="152">
        <v>5920</v>
      </c>
      <c r="X407" s="152"/>
      <c r="Y407" s="141"/>
      <c r="Z407" s="141"/>
      <c r="AA407" s="141"/>
      <c r="AB407" s="196"/>
      <c r="AC407" s="20"/>
      <c r="AD407" s="172"/>
      <c r="AE407" s="135"/>
      <c r="AF407" s="511"/>
      <c r="AG407" s="511"/>
      <c r="AH407" s="31"/>
      <c r="AI407" s="31"/>
      <c r="AJ407" s="31"/>
      <c r="AK407" s="31"/>
      <c r="AL407" s="31"/>
      <c r="AM407" s="31"/>
      <c r="AN407" s="31"/>
      <c r="AO407" s="31"/>
      <c r="AP407" s="31"/>
      <c r="AQ407" s="31"/>
      <c r="AR407" s="31"/>
      <c r="AS407" s="31"/>
      <c r="AT407" s="31"/>
      <c r="AU407" s="31"/>
      <c r="AV407" s="31"/>
      <c r="AW407" s="31"/>
      <c r="AX407" s="31"/>
      <c r="AY407" s="31"/>
      <c r="AZ407" s="31"/>
      <c r="BA407" s="31"/>
      <c r="BB407" s="31"/>
      <c r="BC407" s="31"/>
      <c r="BD407" s="31"/>
      <c r="BE407" s="31"/>
      <c r="BF407" s="31"/>
      <c r="BG407" s="31"/>
    </row>
    <row r="408" spans="1:59" ht="12.75">
      <c r="A408" s="434"/>
      <c r="B408" s="466"/>
      <c r="C408" s="481" t="s">
        <v>497</v>
      </c>
      <c r="D408" s="669"/>
      <c r="E408" s="432"/>
      <c r="F408" s="140"/>
      <c r="G408" s="372"/>
      <c r="H408" s="109"/>
      <c r="I408" s="64"/>
      <c r="J408" s="64"/>
      <c r="K408" s="202"/>
      <c r="L408" s="139"/>
      <c r="M408" s="248"/>
      <c r="N408" s="638"/>
      <c r="O408" s="655"/>
      <c r="P408" s="234"/>
      <c r="Q408" s="186"/>
      <c r="R408" s="186"/>
      <c r="S408" s="156"/>
      <c r="T408" s="149"/>
      <c r="U408" s="150"/>
      <c r="V408" s="151"/>
      <c r="W408" s="152"/>
      <c r="X408" s="152"/>
      <c r="Y408" s="141"/>
      <c r="Z408" s="141"/>
      <c r="AA408" s="141"/>
      <c r="AB408" s="196"/>
      <c r="AC408" s="20"/>
      <c r="AD408" s="172"/>
      <c r="AE408" s="135"/>
      <c r="AF408" s="511"/>
      <c r="AG408" s="511"/>
      <c r="AH408" s="31"/>
      <c r="AI408" s="31"/>
      <c r="AJ408" s="31"/>
      <c r="AK408" s="31"/>
      <c r="AL408" s="31"/>
      <c r="AM408" s="31"/>
      <c r="AN408" s="31"/>
      <c r="AO408" s="31"/>
      <c r="AP408" s="31"/>
      <c r="AQ408" s="31"/>
      <c r="AR408" s="31"/>
      <c r="AS408" s="31"/>
      <c r="AT408" s="31"/>
      <c r="AU408" s="31"/>
      <c r="AV408" s="31"/>
      <c r="AW408" s="31"/>
      <c r="AX408" s="31"/>
      <c r="AY408" s="31"/>
      <c r="AZ408" s="31"/>
      <c r="BA408" s="31"/>
      <c r="BB408" s="31"/>
      <c r="BC408" s="31"/>
      <c r="BD408" s="31"/>
      <c r="BE408" s="31"/>
      <c r="BF408" s="31"/>
      <c r="BG408" s="31"/>
    </row>
    <row r="409" spans="1:59" ht="18.75">
      <c r="A409" s="434">
        <v>197</v>
      </c>
      <c r="B409" s="74" t="s">
        <v>1519</v>
      </c>
      <c r="C409" s="744" t="s">
        <v>1520</v>
      </c>
      <c r="D409" s="669" t="str">
        <f>P</f>
        <v>. . .</v>
      </c>
      <c r="E409" s="432">
        <f>TEC381190</f>
        <v>0.058</v>
      </c>
      <c r="F409" s="140"/>
      <c r="G409" s="372" t="s">
        <v>1713</v>
      </c>
      <c r="H409" s="109" t="s">
        <v>1713</v>
      </c>
      <c r="I409" s="64" t="s">
        <v>172</v>
      </c>
      <c r="J409" s="64" t="s">
        <v>1713</v>
      </c>
      <c r="K409" s="202">
        <f>TEC381190</f>
        <v>0.058</v>
      </c>
      <c r="L409" s="139"/>
      <c r="M409" s="248" t="s">
        <v>1527</v>
      </c>
      <c r="N409" s="638"/>
      <c r="O409" s="655" t="str">
        <f>P</f>
        <v>. . .</v>
      </c>
      <c r="P409" s="234" t="s">
        <v>1530</v>
      </c>
      <c r="Q409" s="186" t="str">
        <f>VI</f>
        <v>(25)</v>
      </c>
      <c r="R409" s="186" t="str">
        <f>VI</f>
        <v>(25)</v>
      </c>
      <c r="S409" s="156"/>
      <c r="V409" s="151"/>
      <c r="W409" s="152">
        <v>5920</v>
      </c>
      <c r="X409" s="152"/>
      <c r="Y409" s="141"/>
      <c r="Z409" s="141"/>
      <c r="AA409" s="141"/>
      <c r="AB409" s="196"/>
      <c r="AC409" s="20"/>
      <c r="AD409" s="172"/>
      <c r="AE409" s="135"/>
      <c r="AF409" s="511"/>
      <c r="AG409" s="511"/>
      <c r="AH409" s="31"/>
      <c r="AI409" s="31"/>
      <c r="AJ409" s="31"/>
      <c r="AK409" s="31"/>
      <c r="AL409" s="31"/>
      <c r="AM409" s="31"/>
      <c r="AN409" s="31"/>
      <c r="AO409" s="31"/>
      <c r="AP409" s="31"/>
      <c r="AQ409" s="31"/>
      <c r="AR409" s="31"/>
      <c r="AS409" s="31"/>
      <c r="AT409" s="31"/>
      <c r="AU409" s="31"/>
      <c r="AV409" s="31"/>
      <c r="AW409" s="31"/>
      <c r="AX409" s="31"/>
      <c r="AY409" s="31"/>
      <c r="AZ409" s="31"/>
      <c r="BA409" s="31"/>
      <c r="BB409" s="31"/>
      <c r="BC409" s="31"/>
      <c r="BD409" s="31"/>
      <c r="BE409" s="31"/>
      <c r="BF409" s="31"/>
      <c r="BG409" s="31"/>
    </row>
    <row r="410" spans="1:59" ht="12.75">
      <c r="A410" s="434"/>
      <c r="B410" s="466"/>
      <c r="C410" s="744" t="s">
        <v>1679</v>
      </c>
      <c r="D410" s="669"/>
      <c r="E410" s="432"/>
      <c r="F410" s="140"/>
      <c r="G410" s="372"/>
      <c r="H410" s="109"/>
      <c r="I410" s="64"/>
      <c r="J410" s="64"/>
      <c r="K410" s="202"/>
      <c r="L410" s="139"/>
      <c r="M410" s="248"/>
      <c r="N410" s="638"/>
      <c r="O410" s="655"/>
      <c r="P410" s="234"/>
      <c r="Q410" s="186"/>
      <c r="R410" s="186"/>
      <c r="S410" s="156"/>
      <c r="T410" s="149"/>
      <c r="U410" s="150"/>
      <c r="V410" s="151"/>
      <c r="W410" s="152"/>
      <c r="X410" s="152"/>
      <c r="Y410" s="141"/>
      <c r="Z410" s="141"/>
      <c r="AA410" s="141"/>
      <c r="AB410" s="196"/>
      <c r="AC410" s="20"/>
      <c r="AD410" s="172"/>
      <c r="AE410" s="135"/>
      <c r="AF410" s="511"/>
      <c r="AG410" s="511"/>
      <c r="AH410" s="31"/>
      <c r="AI410" s="31"/>
      <c r="AJ410" s="31"/>
      <c r="AK410" s="31"/>
      <c r="AL410" s="31"/>
      <c r="AM410" s="31"/>
      <c r="AN410" s="31"/>
      <c r="AO410" s="31"/>
      <c r="AP410" s="31"/>
      <c r="AQ410" s="31"/>
      <c r="AR410" s="31"/>
      <c r="AS410" s="31"/>
      <c r="AT410" s="31"/>
      <c r="AU410" s="31"/>
      <c r="AV410" s="31"/>
      <c r="AW410" s="31"/>
      <c r="AX410" s="31"/>
      <c r="AY410" s="31"/>
      <c r="AZ410" s="31"/>
      <c r="BA410" s="31"/>
      <c r="BB410" s="31"/>
      <c r="BC410" s="31"/>
      <c r="BD410" s="31"/>
      <c r="BE410" s="31"/>
      <c r="BF410" s="31"/>
      <c r="BG410" s="31"/>
    </row>
    <row r="411" spans="1:59" ht="12.75">
      <c r="A411" s="434">
        <v>198</v>
      </c>
      <c r="B411" s="466" t="s">
        <v>1749</v>
      </c>
      <c r="C411" s="471" t="s">
        <v>498</v>
      </c>
      <c r="D411" s="669"/>
      <c r="E411" s="432"/>
      <c r="F411" s="140"/>
      <c r="G411" s="372"/>
      <c r="H411" s="109"/>
      <c r="I411" s="64"/>
      <c r="J411" s="64"/>
      <c r="K411" s="202"/>
      <c r="L411" s="139"/>
      <c r="M411" s="248"/>
      <c r="N411" s="638"/>
      <c r="O411" s="655"/>
      <c r="P411" s="234"/>
      <c r="Q411" s="186"/>
      <c r="R411" s="186"/>
      <c r="S411" s="156"/>
      <c r="T411" s="149"/>
      <c r="U411" s="150"/>
      <c r="V411" s="151"/>
      <c r="W411" s="152"/>
      <c r="X411" s="152"/>
      <c r="Y411" s="141"/>
      <c r="Z411" s="141"/>
      <c r="AA411" s="141"/>
      <c r="AB411" s="196"/>
      <c r="AC411" s="20"/>
      <c r="AD411" s="172"/>
      <c r="AE411" s="135"/>
      <c r="AF411" s="511"/>
      <c r="AG411" s="511"/>
      <c r="AH411" s="31"/>
      <c r="AI411" s="31"/>
      <c r="AJ411" s="31"/>
      <c r="AK411" s="31"/>
      <c r="AL411" s="31"/>
      <c r="AM411" s="31"/>
      <c r="AN411" s="31"/>
      <c r="AO411" s="31"/>
      <c r="AP411" s="31"/>
      <c r="AQ411" s="31"/>
      <c r="AR411" s="31"/>
      <c r="AS411" s="31"/>
      <c r="AT411" s="31"/>
      <c r="AU411" s="31"/>
      <c r="AV411" s="31"/>
      <c r="AW411" s="31"/>
      <c r="AX411" s="31"/>
      <c r="AY411" s="31"/>
      <c r="AZ411" s="31"/>
      <c r="BA411" s="31"/>
      <c r="BB411" s="31"/>
      <c r="BC411" s="31"/>
      <c r="BD411" s="31"/>
      <c r="BE411" s="31"/>
      <c r="BF411" s="31"/>
      <c r="BG411" s="31"/>
    </row>
    <row r="412" spans="1:59" ht="12.75">
      <c r="A412" s="434"/>
      <c r="B412" s="74"/>
      <c r="C412" s="89" t="s">
        <v>1514</v>
      </c>
      <c r="D412" s="81" t="s">
        <v>1713</v>
      </c>
      <c r="E412" s="432">
        <f>TEC381190</f>
        <v>0.058</v>
      </c>
      <c r="F412" s="140"/>
      <c r="G412" s="372" t="s">
        <v>1713</v>
      </c>
      <c r="H412" s="109" t="s">
        <v>1713</v>
      </c>
      <c r="I412" s="64" t="s">
        <v>172</v>
      </c>
      <c r="J412" s="64" t="s">
        <v>1713</v>
      </c>
      <c r="K412" s="202">
        <f>TEC381190</f>
        <v>0.058</v>
      </c>
      <c r="L412" s="139"/>
      <c r="M412" s="248" t="s">
        <v>1527</v>
      </c>
      <c r="N412" s="638"/>
      <c r="O412" s="655" t="str">
        <f>P</f>
        <v>. . .</v>
      </c>
      <c r="P412" s="234" t="s">
        <v>1530</v>
      </c>
      <c r="Q412" s="186" t="str">
        <f>VI</f>
        <v>(25)</v>
      </c>
      <c r="R412" s="186" t="str">
        <f>VI</f>
        <v>(25)</v>
      </c>
      <c r="S412" s="156"/>
      <c r="V412" s="151"/>
      <c r="W412" s="152" t="str">
        <f>t</f>
        <v>TVO</v>
      </c>
      <c r="X412" s="152"/>
      <c r="Y412" s="141"/>
      <c r="Z412" s="141"/>
      <c r="AA412" s="141"/>
      <c r="AB412" s="196"/>
      <c r="AC412" s="20"/>
      <c r="AD412" s="172"/>
      <c r="AE412" s="135"/>
      <c r="AF412" s="511"/>
      <c r="AG412" s="511"/>
      <c r="AH412" s="31"/>
      <c r="AI412" s="31"/>
      <c r="AJ412" s="31"/>
      <c r="AK412" s="31"/>
      <c r="AL412" s="31"/>
      <c r="AM412" s="31"/>
      <c r="AN412" s="31"/>
      <c r="AO412" s="31"/>
      <c r="AP412" s="31"/>
      <c r="AQ412" s="31"/>
      <c r="AR412" s="31"/>
      <c r="AS412" s="31"/>
      <c r="AT412" s="31"/>
      <c r="AU412" s="31"/>
      <c r="AV412" s="31"/>
      <c r="AW412" s="31"/>
      <c r="AX412" s="31"/>
      <c r="AY412" s="31"/>
      <c r="AZ412" s="31"/>
      <c r="BA412" s="31"/>
      <c r="BB412" s="31"/>
      <c r="BC412" s="31"/>
      <c r="BD412" s="31"/>
      <c r="BE412" s="31"/>
      <c r="BF412" s="31"/>
      <c r="BG412" s="31"/>
    </row>
    <row r="413" spans="1:92" s="740" customFormat="1" ht="13.5" thickBot="1">
      <c r="A413" s="458">
        <v>199</v>
      </c>
      <c r="B413" s="416" t="s">
        <v>1750</v>
      </c>
      <c r="C413" s="512" t="s">
        <v>1513</v>
      </c>
      <c r="D413" s="674" t="s">
        <v>1713</v>
      </c>
      <c r="E413" s="689">
        <f>TEC381190</f>
        <v>0.058</v>
      </c>
      <c r="F413" s="690"/>
      <c r="G413" s="513"/>
      <c r="H413" s="228"/>
      <c r="I413" s="708" t="s">
        <v>172</v>
      </c>
      <c r="J413" s="708" t="s">
        <v>241</v>
      </c>
      <c r="K413" s="514">
        <f>TEC381190</f>
        <v>0.058</v>
      </c>
      <c r="L413" s="190"/>
      <c r="M413" s="194">
        <f>TIFBTS</f>
        <v>1.85</v>
      </c>
      <c r="N413" s="641"/>
      <c r="O413" s="662" t="str">
        <f>P</f>
        <v>. . .</v>
      </c>
      <c r="P413" s="644" t="s">
        <v>1530</v>
      </c>
      <c r="Q413" s="343" t="str">
        <f>VI</f>
        <v>(25)</v>
      </c>
      <c r="R413" s="343" t="str">
        <f>VI</f>
        <v>(25)</v>
      </c>
      <c r="S413" s="156"/>
      <c r="T413" s="311">
        <v>5713</v>
      </c>
      <c r="U413" s="312"/>
      <c r="V413" s="11"/>
      <c r="W413" s="152" t="str">
        <f>t</f>
        <v>TVO</v>
      </c>
      <c r="X413" s="152"/>
      <c r="Y413" s="141"/>
      <c r="Z413" s="141"/>
      <c r="AA413" s="141"/>
      <c r="AB413" s="196"/>
      <c r="AC413" s="20"/>
      <c r="AD413" s="172"/>
      <c r="AE413" s="508"/>
      <c r="AF413" s="515"/>
      <c r="AG413" s="515"/>
      <c r="AH413" s="438"/>
      <c r="AI413" s="438"/>
      <c r="AJ413" s="438"/>
      <c r="AK413" s="438"/>
      <c r="AL413" s="438"/>
      <c r="AM413" s="438"/>
      <c r="AN413" s="438"/>
      <c r="AO413" s="438"/>
      <c r="AP413" s="438"/>
      <c r="AQ413" s="438"/>
      <c r="AR413" s="438"/>
      <c r="AS413" s="438"/>
      <c r="AT413" s="438"/>
      <c r="AU413" s="438"/>
      <c r="AV413" s="438"/>
      <c r="AW413" s="438"/>
      <c r="AX413" s="438"/>
      <c r="AY413" s="438"/>
      <c r="AZ413" s="438"/>
      <c r="BA413" s="438"/>
      <c r="BB413" s="438"/>
      <c r="BC413" s="438"/>
      <c r="BD413" s="438"/>
      <c r="BE413" s="438"/>
      <c r="BF413" s="438"/>
      <c r="BG413" s="438"/>
      <c r="BH413" s="428"/>
      <c r="BI413" s="428"/>
      <c r="BJ413" s="428"/>
      <c r="BK413" s="428"/>
      <c r="BL413" s="428"/>
      <c r="BM413" s="428"/>
      <c r="BN413" s="428"/>
      <c r="BO413" s="428"/>
      <c r="BP413" s="428"/>
      <c r="BQ413" s="428"/>
      <c r="BR413" s="428"/>
      <c r="BS413" s="428"/>
      <c r="BT413" s="428"/>
      <c r="BU413" s="428"/>
      <c r="BV413" s="428"/>
      <c r="BW413" s="428"/>
      <c r="BX413" s="428"/>
      <c r="BY413" s="428"/>
      <c r="BZ413" s="428"/>
      <c r="CA413" s="428"/>
      <c r="CB413" s="428"/>
      <c r="CC413" s="428"/>
      <c r="CD413" s="428"/>
      <c r="CE413" s="428"/>
      <c r="CF413" s="428"/>
      <c r="CG413" s="428"/>
      <c r="CH413" s="428"/>
      <c r="CI413" s="428"/>
      <c r="CJ413" s="428"/>
      <c r="CK413" s="428"/>
      <c r="CL413" s="428"/>
      <c r="CM413" s="428"/>
      <c r="CN413" s="428"/>
    </row>
    <row r="414" spans="1:59" ht="12.75">
      <c r="A414" s="434">
        <v>200</v>
      </c>
      <c r="B414" s="466" t="s">
        <v>1751</v>
      </c>
      <c r="C414" s="471" t="s">
        <v>499</v>
      </c>
      <c r="D414" s="669"/>
      <c r="E414" s="432"/>
      <c r="F414" s="140"/>
      <c r="G414" s="372"/>
      <c r="H414" s="109"/>
      <c r="I414" s="64"/>
      <c r="J414" s="64"/>
      <c r="K414" s="202"/>
      <c r="L414" s="139"/>
      <c r="M414" s="248"/>
      <c r="N414" s="638"/>
      <c r="O414" s="655"/>
      <c r="P414" s="234"/>
      <c r="Q414" s="186"/>
      <c r="R414" s="186"/>
      <c r="S414" s="156"/>
      <c r="T414" s="70"/>
      <c r="U414" s="71"/>
      <c r="W414" s="73"/>
      <c r="X414" s="73"/>
      <c r="Y414" s="32"/>
      <c r="Z414" s="32"/>
      <c r="AA414" s="141"/>
      <c r="AB414" s="196"/>
      <c r="AC414" s="20"/>
      <c r="AD414" s="172"/>
      <c r="AE414" s="135"/>
      <c r="AF414" s="511"/>
      <c r="AG414" s="511"/>
      <c r="AH414" s="31"/>
      <c r="AI414" s="31"/>
      <c r="AJ414" s="31"/>
      <c r="AK414" s="31"/>
      <c r="AL414" s="31"/>
      <c r="AM414" s="31"/>
      <c r="AN414" s="31"/>
      <c r="AO414" s="31"/>
      <c r="AP414" s="31"/>
      <c r="AQ414" s="31"/>
      <c r="AR414" s="31"/>
      <c r="AS414" s="31"/>
      <c r="AT414" s="31"/>
      <c r="AU414" s="31"/>
      <c r="AV414" s="31"/>
      <c r="AW414" s="31"/>
      <c r="AX414" s="31"/>
      <c r="AY414" s="31"/>
      <c r="AZ414" s="31"/>
      <c r="BA414" s="31"/>
      <c r="BB414" s="31"/>
      <c r="BC414" s="31"/>
      <c r="BD414" s="31"/>
      <c r="BE414" s="31"/>
      <c r="BF414" s="31"/>
      <c r="BG414" s="31"/>
    </row>
    <row r="415" spans="1:92" s="741" customFormat="1" ht="12.75">
      <c r="A415" s="434"/>
      <c r="B415" s="74"/>
      <c r="C415" s="89" t="s">
        <v>1515</v>
      </c>
      <c r="D415" s="81" t="s">
        <v>1713</v>
      </c>
      <c r="E415" s="432">
        <f>TEC381190</f>
        <v>0.058</v>
      </c>
      <c r="F415" s="140"/>
      <c r="G415" s="376" t="s">
        <v>1524</v>
      </c>
      <c r="H415" s="63" t="s">
        <v>1713</v>
      </c>
      <c r="I415" s="64" t="s">
        <v>172</v>
      </c>
      <c r="J415" s="64" t="s">
        <v>1544</v>
      </c>
      <c r="K415" s="388">
        <f>TEC381190</f>
        <v>0.058</v>
      </c>
      <c r="L415" s="138"/>
      <c r="M415" s="248">
        <f>TIFD</f>
        <v>5.66</v>
      </c>
      <c r="N415" s="638"/>
      <c r="O415" s="655" t="str">
        <f>P</f>
        <v>. . .</v>
      </c>
      <c r="P415" s="234" t="s">
        <v>1530</v>
      </c>
      <c r="Q415" s="186" t="str">
        <f>VI</f>
        <v>(25)</v>
      </c>
      <c r="R415" s="186" t="str">
        <f>VI</f>
        <v>(25)</v>
      </c>
      <c r="S415" s="156"/>
      <c r="T415" s="70">
        <v>5728</v>
      </c>
      <c r="U415" s="71"/>
      <c r="V415" s="11"/>
      <c r="W415" s="73" t="str">
        <f>t</f>
        <v>TVO</v>
      </c>
      <c r="X415" s="73"/>
      <c r="Y415" s="32"/>
      <c r="Z415" s="32"/>
      <c r="AA415" s="141"/>
      <c r="AB415" s="196"/>
      <c r="AC415" s="20"/>
      <c r="AD415" s="172"/>
      <c r="AE415" s="135"/>
      <c r="AF415" s="511"/>
      <c r="AG415" s="511"/>
      <c r="AH415" s="31"/>
      <c r="AI415" s="31"/>
      <c r="AJ415" s="31"/>
      <c r="AK415" s="31"/>
      <c r="AL415" s="31"/>
      <c r="AM415" s="31"/>
      <c r="AN415" s="31"/>
      <c r="AO415" s="31"/>
      <c r="AP415" s="31"/>
      <c r="AQ415" s="31"/>
      <c r="AR415" s="31"/>
      <c r="AS415" s="31"/>
      <c r="AT415" s="31"/>
      <c r="AU415" s="31"/>
      <c r="AV415" s="31"/>
      <c r="AW415" s="31"/>
      <c r="AX415" s="31"/>
      <c r="AY415" s="31"/>
      <c r="AZ415" s="31"/>
      <c r="BA415" s="31"/>
      <c r="BB415" s="31"/>
      <c r="BC415" s="31"/>
      <c r="BD415" s="31"/>
      <c r="BE415" s="31"/>
      <c r="BF415" s="31"/>
      <c r="BG415" s="31"/>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row>
    <row r="416" spans="1:92" s="741" customFormat="1" ht="12.75">
      <c r="A416" s="434">
        <v>201</v>
      </c>
      <c r="B416" s="74" t="s">
        <v>1752</v>
      </c>
      <c r="C416" s="89" t="s">
        <v>500</v>
      </c>
      <c r="D416" s="81"/>
      <c r="E416" s="432"/>
      <c r="F416" s="140"/>
      <c r="G416" s="376"/>
      <c r="H416" s="63"/>
      <c r="I416" s="64"/>
      <c r="J416" s="64"/>
      <c r="K416" s="388"/>
      <c r="L416" s="138"/>
      <c r="M416" s="248"/>
      <c r="N416" s="638"/>
      <c r="O416" s="655"/>
      <c r="P416" s="234"/>
      <c r="Q416" s="186"/>
      <c r="R416" s="186"/>
      <c r="S416" s="156"/>
      <c r="T416" s="149"/>
      <c r="U416" s="150"/>
      <c r="V416" s="11"/>
      <c r="W416" s="152"/>
      <c r="X416" s="152"/>
      <c r="Y416" s="141"/>
      <c r="Z416" s="141"/>
      <c r="AA416" s="141"/>
      <c r="AB416" s="196"/>
      <c r="AC416" s="20"/>
      <c r="AD416" s="172"/>
      <c r="AE416" s="172"/>
      <c r="AF416" s="511"/>
      <c r="AG416" s="511"/>
      <c r="AH416" s="31"/>
      <c r="AI416" s="31"/>
      <c r="AJ416" s="31"/>
      <c r="AK416" s="31"/>
      <c r="AL416" s="31"/>
      <c r="AM416" s="31"/>
      <c r="AN416" s="31"/>
      <c r="AO416" s="31"/>
      <c r="AP416" s="31"/>
      <c r="AQ416" s="31"/>
      <c r="AR416" s="31"/>
      <c r="AS416" s="31"/>
      <c r="AT416" s="31"/>
      <c r="AU416" s="31"/>
      <c r="AV416" s="31"/>
      <c r="AW416" s="31"/>
      <c r="AX416" s="31"/>
      <c r="AY416" s="31"/>
      <c r="AZ416" s="31"/>
      <c r="BA416" s="31"/>
      <c r="BB416" s="31"/>
      <c r="BC416" s="31"/>
      <c r="BD416" s="31"/>
      <c r="BE416" s="31"/>
      <c r="BF416" s="31"/>
      <c r="BG416" s="31"/>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row>
    <row r="417" spans="1:92" s="741" customFormat="1" ht="12.75">
      <c r="A417" s="434"/>
      <c r="B417" s="74"/>
      <c r="C417" s="89" t="s">
        <v>501</v>
      </c>
      <c r="D417" s="81" t="s">
        <v>1713</v>
      </c>
      <c r="E417" s="432">
        <f>TEC381190</f>
        <v>0.058</v>
      </c>
      <c r="F417" s="140"/>
      <c r="G417" s="376" t="s">
        <v>1524</v>
      </c>
      <c r="H417" s="74" t="s">
        <v>1525</v>
      </c>
      <c r="I417" s="64" t="s">
        <v>172</v>
      </c>
      <c r="J417" s="64" t="s">
        <v>1544</v>
      </c>
      <c r="K417" s="388">
        <f>TEC381190</f>
        <v>0.058</v>
      </c>
      <c r="L417" s="138"/>
      <c r="M417" s="248">
        <f>TIGO</f>
        <v>41.69</v>
      </c>
      <c r="N417" s="638"/>
      <c r="O417" s="655" t="str">
        <f>P</f>
        <v>. . .</v>
      </c>
      <c r="P417" s="234" t="s">
        <v>1530</v>
      </c>
      <c r="Q417" s="186" t="str">
        <f>VI</f>
        <v>(25)</v>
      </c>
      <c r="R417" s="186" t="str">
        <f>VI</f>
        <v>(25)</v>
      </c>
      <c r="S417" s="156"/>
      <c r="T417" s="70">
        <v>5731</v>
      </c>
      <c r="U417" s="71"/>
      <c r="V417" s="11"/>
      <c r="W417" s="73" t="str">
        <f>t</f>
        <v>TVO</v>
      </c>
      <c r="X417" s="73"/>
      <c r="Y417" s="32"/>
      <c r="Z417" s="32"/>
      <c r="AA417" s="32"/>
      <c r="AB417" s="196"/>
      <c r="AC417" s="20"/>
      <c r="AD417" s="172"/>
      <c r="AE417" s="172"/>
      <c r="AF417" s="511"/>
      <c r="AG417" s="511"/>
      <c r="AH417" s="31"/>
      <c r="AI417" s="31"/>
      <c r="AJ417" s="31"/>
      <c r="AK417" s="31"/>
      <c r="AL417" s="31"/>
      <c r="AM417" s="31"/>
      <c r="AN417" s="31"/>
      <c r="AO417" s="31"/>
      <c r="AP417" s="31"/>
      <c r="AQ417" s="31"/>
      <c r="AR417" s="31"/>
      <c r="AS417" s="31"/>
      <c r="AT417" s="31"/>
      <c r="AU417" s="31"/>
      <c r="AV417" s="31"/>
      <c r="AW417" s="31"/>
      <c r="AX417" s="31"/>
      <c r="AY417" s="31"/>
      <c r="AZ417" s="31"/>
      <c r="BA417" s="31"/>
      <c r="BB417" s="31"/>
      <c r="BC417" s="31"/>
      <c r="BD417" s="31"/>
      <c r="BE417" s="31"/>
      <c r="BF417" s="31"/>
      <c r="BG417" s="31"/>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row>
    <row r="418" spans="1:92" s="741" customFormat="1" ht="12.75">
      <c r="A418" s="434">
        <v>202</v>
      </c>
      <c r="B418" s="246" t="s">
        <v>1753</v>
      </c>
      <c r="C418" s="89" t="s">
        <v>502</v>
      </c>
      <c r="D418" s="81" t="s">
        <v>1713</v>
      </c>
      <c r="E418" s="432">
        <f>TEC381190</f>
        <v>0.058</v>
      </c>
      <c r="F418" s="140"/>
      <c r="G418" s="183" t="s">
        <v>1524</v>
      </c>
      <c r="H418" s="63" t="s">
        <v>1525</v>
      </c>
      <c r="I418" s="64" t="s">
        <v>172</v>
      </c>
      <c r="J418" s="64" t="s">
        <v>1544</v>
      </c>
      <c r="K418" s="479">
        <f>TEC381190</f>
        <v>0.058</v>
      </c>
      <c r="L418" s="138"/>
      <c r="M418" s="248">
        <f>TIARS</f>
        <v>63.96</v>
      </c>
      <c r="N418" s="184"/>
      <c r="O418" s="532" t="str">
        <f>P</f>
        <v>. . .</v>
      </c>
      <c r="P418" s="234" t="s">
        <v>1530</v>
      </c>
      <c r="Q418" s="186" t="str">
        <f>VI</f>
        <v>(25)</v>
      </c>
      <c r="R418" s="186" t="str">
        <f>VI</f>
        <v>(25)</v>
      </c>
      <c r="S418" s="461"/>
      <c r="T418" s="516">
        <v>5730</v>
      </c>
      <c r="U418" s="150"/>
      <c r="V418" s="446"/>
      <c r="W418" s="152" t="str">
        <f>t</f>
        <v>TVO</v>
      </c>
      <c r="X418" s="152"/>
      <c r="Y418" s="141"/>
      <c r="Z418" s="141"/>
      <c r="AA418" s="32"/>
      <c r="AB418" s="196"/>
      <c r="AC418" s="501"/>
      <c r="AD418" s="172"/>
      <c r="AE418" s="172"/>
      <c r="AF418" s="511"/>
      <c r="AG418" s="511"/>
      <c r="AH418" s="31"/>
      <c r="AI418" s="31"/>
      <c r="AJ418" s="31"/>
      <c r="AK418" s="31"/>
      <c r="AL418" s="31"/>
      <c r="AM418" s="31"/>
      <c r="AN418" s="31"/>
      <c r="AO418" s="31"/>
      <c r="AP418" s="31"/>
      <c r="AQ418" s="31"/>
      <c r="AR418" s="31"/>
      <c r="AS418" s="31"/>
      <c r="AT418" s="31"/>
      <c r="AU418" s="31"/>
      <c r="AV418" s="31"/>
      <c r="AW418" s="31"/>
      <c r="AX418" s="31"/>
      <c r="AY418" s="31"/>
      <c r="AZ418" s="31"/>
      <c r="BA418" s="31"/>
      <c r="BB418" s="31"/>
      <c r="BC418" s="31"/>
      <c r="BD418" s="31"/>
      <c r="BE418" s="31"/>
      <c r="BF418" s="31"/>
      <c r="BG418" s="31"/>
      <c r="BH418" s="742"/>
      <c r="BI418" s="742"/>
      <c r="BJ418" s="742"/>
      <c r="BK418" s="742"/>
      <c r="BL418" s="742"/>
      <c r="BM418" s="742"/>
      <c r="BN418" s="742"/>
      <c r="BO418" s="742"/>
      <c r="BP418" s="742"/>
      <c r="BQ418" s="742"/>
      <c r="BR418" s="742"/>
      <c r="BS418" s="742"/>
      <c r="BT418" s="742"/>
      <c r="BU418" s="742"/>
      <c r="BV418" s="742"/>
      <c r="BW418" s="742"/>
      <c r="BX418" s="742"/>
      <c r="BY418" s="742"/>
      <c r="BZ418" s="742"/>
      <c r="CA418" s="742"/>
      <c r="CB418" s="742"/>
      <c r="CC418" s="742"/>
      <c r="CD418" s="742"/>
      <c r="CE418" s="742"/>
      <c r="CF418" s="742"/>
      <c r="CG418" s="742"/>
      <c r="CH418" s="742"/>
      <c r="CI418" s="742"/>
      <c r="CJ418" s="742"/>
      <c r="CK418" s="742"/>
      <c r="CL418" s="742"/>
      <c r="CM418" s="742"/>
      <c r="CN418" s="742"/>
    </row>
    <row r="419" spans="1:92" s="741" customFormat="1" ht="12.75">
      <c r="A419" s="434">
        <v>203</v>
      </c>
      <c r="B419" s="74" t="s">
        <v>1754</v>
      </c>
      <c r="C419" s="89" t="s">
        <v>503</v>
      </c>
      <c r="D419" s="81"/>
      <c r="E419" s="432"/>
      <c r="F419" s="140"/>
      <c r="G419" s="376"/>
      <c r="H419" s="63"/>
      <c r="I419" s="64"/>
      <c r="J419" s="64"/>
      <c r="K419" s="388"/>
      <c r="L419" s="138"/>
      <c r="M419" s="248"/>
      <c r="N419" s="638"/>
      <c r="O419" s="655"/>
      <c r="P419" s="234"/>
      <c r="Q419" s="186"/>
      <c r="R419" s="186"/>
      <c r="S419" s="165"/>
      <c r="T419" s="70"/>
      <c r="U419" s="71"/>
      <c r="V419" s="72"/>
      <c r="W419" s="73"/>
      <c r="X419" s="73"/>
      <c r="Y419" s="32"/>
      <c r="Z419" s="32"/>
      <c r="AA419" s="141"/>
      <c r="AB419" s="196"/>
      <c r="AC419" s="20"/>
      <c r="AD419" s="172"/>
      <c r="AE419" s="135"/>
      <c r="AF419" s="511"/>
      <c r="AG419" s="511"/>
      <c r="AH419" s="31"/>
      <c r="AI419" s="31"/>
      <c r="AJ419" s="31"/>
      <c r="AK419" s="31"/>
      <c r="AL419" s="31"/>
      <c r="AM419" s="31"/>
      <c r="AN419" s="31"/>
      <c r="AO419" s="31"/>
      <c r="AP419" s="31"/>
      <c r="AQ419" s="31"/>
      <c r="AR419" s="31"/>
      <c r="AS419" s="31"/>
      <c r="AT419" s="31"/>
      <c r="AU419" s="31"/>
      <c r="AV419" s="31"/>
      <c r="AW419" s="31"/>
      <c r="AX419" s="31"/>
      <c r="AY419" s="31"/>
      <c r="AZ419" s="31"/>
      <c r="BA419" s="31"/>
      <c r="BB419" s="31"/>
      <c r="BC419" s="31"/>
      <c r="BD419" s="31"/>
      <c r="BE419" s="31"/>
      <c r="BF419" s="31"/>
      <c r="BG419" s="31"/>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row>
    <row r="420" spans="1:92" s="741" customFormat="1" ht="12.75">
      <c r="A420" s="434"/>
      <c r="B420" s="517"/>
      <c r="C420" s="89" t="s">
        <v>504</v>
      </c>
      <c r="D420" s="81"/>
      <c r="E420" s="432"/>
      <c r="F420" s="140"/>
      <c r="G420" s="376"/>
      <c r="H420" s="63"/>
      <c r="I420" s="64"/>
      <c r="J420" s="64"/>
      <c r="K420" s="388"/>
      <c r="L420" s="138"/>
      <c r="M420" s="248"/>
      <c r="N420" s="638"/>
      <c r="O420" s="655"/>
      <c r="P420" s="234"/>
      <c r="Q420" s="186"/>
      <c r="R420" s="186"/>
      <c r="S420" s="165"/>
      <c r="T420" s="70"/>
      <c r="U420" s="71"/>
      <c r="V420" s="72"/>
      <c r="W420" s="73"/>
      <c r="X420" s="73"/>
      <c r="Y420" s="32"/>
      <c r="Z420" s="32"/>
      <c r="AA420" s="32"/>
      <c r="AB420" s="196"/>
      <c r="AC420" s="20"/>
      <c r="AD420" s="172"/>
      <c r="AE420" s="172"/>
      <c r="AF420" s="511"/>
      <c r="AG420" s="511"/>
      <c r="AH420" s="31"/>
      <c r="AI420" s="31"/>
      <c r="AJ420" s="31"/>
      <c r="AK420" s="31"/>
      <c r="AL420" s="31"/>
      <c r="AM420" s="31"/>
      <c r="AN420" s="31"/>
      <c r="AO420" s="31"/>
      <c r="AP420" s="31"/>
      <c r="AQ420" s="31"/>
      <c r="AR420" s="31"/>
      <c r="AS420" s="31"/>
      <c r="AT420" s="31"/>
      <c r="AU420" s="31"/>
      <c r="AV420" s="31"/>
      <c r="AW420" s="31"/>
      <c r="AX420" s="31"/>
      <c r="AY420" s="31"/>
      <c r="AZ420" s="31"/>
      <c r="BA420" s="31"/>
      <c r="BB420" s="31"/>
      <c r="BC420" s="31"/>
      <c r="BD420" s="31"/>
      <c r="BE420" s="31"/>
      <c r="BF420" s="31"/>
      <c r="BG420" s="31"/>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row>
    <row r="421" spans="1:92" s="741" customFormat="1" ht="12.75">
      <c r="A421" s="434"/>
      <c r="B421" s="74"/>
      <c r="C421" s="89" t="s">
        <v>505</v>
      </c>
      <c r="D421" s="81"/>
      <c r="E421" s="432"/>
      <c r="F421" s="140"/>
      <c r="G421" s="376"/>
      <c r="H421" s="63"/>
      <c r="I421" s="64"/>
      <c r="J421" s="64"/>
      <c r="K421" s="388"/>
      <c r="L421" s="138"/>
      <c r="M421" s="248"/>
      <c r="N421" s="638"/>
      <c r="O421" s="655"/>
      <c r="P421" s="234"/>
      <c r="Q421" s="186"/>
      <c r="R421" s="186"/>
      <c r="S421" s="156"/>
      <c r="T421" s="149"/>
      <c r="U421" s="150"/>
      <c r="V421" s="151"/>
      <c r="W421" s="152"/>
      <c r="X421" s="152"/>
      <c r="Y421" s="141"/>
      <c r="Z421" s="141"/>
      <c r="AA421" s="141"/>
      <c r="AB421" s="196"/>
      <c r="AC421" s="20"/>
      <c r="AD421" s="172"/>
      <c r="AE421" s="135"/>
      <c r="AF421" s="511"/>
      <c r="AG421" s="511"/>
      <c r="AH421" s="31"/>
      <c r="AI421" s="31"/>
      <c r="AJ421" s="31"/>
      <c r="AK421" s="31"/>
      <c r="AL421" s="31"/>
      <c r="AM421" s="31"/>
      <c r="AN421" s="31"/>
      <c r="AO421" s="31"/>
      <c r="AP421" s="31"/>
      <c r="AQ421" s="31"/>
      <c r="AR421" s="31"/>
      <c r="AS421" s="31"/>
      <c r="AT421" s="31"/>
      <c r="AU421" s="31"/>
      <c r="AV421" s="31"/>
      <c r="AW421" s="31"/>
      <c r="AX421" s="31"/>
      <c r="AY421" s="31"/>
      <c r="AZ421" s="31"/>
      <c r="BA421" s="31"/>
      <c r="BB421" s="31"/>
      <c r="BC421" s="31"/>
      <c r="BD421" s="31"/>
      <c r="BE421" s="31"/>
      <c r="BF421" s="31"/>
      <c r="BG421" s="31"/>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row>
    <row r="422" spans="1:92" s="741" customFormat="1" ht="12.75">
      <c r="A422" s="434"/>
      <c r="B422" s="74"/>
      <c r="C422" s="89" t="s">
        <v>506</v>
      </c>
      <c r="D422" s="81" t="s">
        <v>1713</v>
      </c>
      <c r="E422" s="432">
        <f>TEC381190</f>
        <v>0.058</v>
      </c>
      <c r="F422" s="140"/>
      <c r="G422" s="183" t="s">
        <v>1524</v>
      </c>
      <c r="H422" s="63" t="s">
        <v>1525</v>
      </c>
      <c r="I422" s="64" t="s">
        <v>172</v>
      </c>
      <c r="J422" s="64" t="s">
        <v>1544</v>
      </c>
      <c r="K422" s="388">
        <f>TEC381190</f>
        <v>0.058</v>
      </c>
      <c r="L422" s="138"/>
      <c r="M422" s="248">
        <f>TIARS</f>
        <v>63.96</v>
      </c>
      <c r="N422" s="638"/>
      <c r="O422" s="655" t="str">
        <f>P</f>
        <v>. . .</v>
      </c>
      <c r="P422" s="234" t="s">
        <v>1530</v>
      </c>
      <c r="Q422" s="186" t="str">
        <f>VI</f>
        <v>(25)</v>
      </c>
      <c r="R422" s="186" t="str">
        <f>VI</f>
        <v>(25)</v>
      </c>
      <c r="S422" s="165"/>
      <c r="T422" s="149">
        <v>5730</v>
      </c>
      <c r="U422" s="150"/>
      <c r="V422" s="11"/>
      <c r="W422" s="152" t="str">
        <f>t</f>
        <v>TVO</v>
      </c>
      <c r="X422" s="152"/>
      <c r="Y422" s="141">
        <v>9109</v>
      </c>
      <c r="Z422" s="141"/>
      <c r="AA422" s="32"/>
      <c r="AB422" s="196"/>
      <c r="AC422" s="20"/>
      <c r="AD422" s="172"/>
      <c r="AE422" s="172"/>
      <c r="AF422" s="511"/>
      <c r="AG422" s="511"/>
      <c r="AH422" s="31"/>
      <c r="AI422" s="31"/>
      <c r="AJ422" s="31"/>
      <c r="AK422" s="31"/>
      <c r="AL422" s="31"/>
      <c r="AM422" s="31"/>
      <c r="AN422" s="31"/>
      <c r="AO422" s="31"/>
      <c r="AP422" s="31"/>
      <c r="AQ422" s="31"/>
      <c r="AR422" s="31"/>
      <c r="AS422" s="31"/>
      <c r="AT422" s="31"/>
      <c r="AU422" s="31"/>
      <c r="AV422" s="31"/>
      <c r="AW422" s="31"/>
      <c r="AX422" s="31"/>
      <c r="AY422" s="31"/>
      <c r="AZ422" s="31"/>
      <c r="BA422" s="31"/>
      <c r="BB422" s="31"/>
      <c r="BC422" s="31"/>
      <c r="BD422" s="31"/>
      <c r="BE422" s="31"/>
      <c r="BF422" s="31"/>
      <c r="BG422" s="31"/>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row>
    <row r="423" spans="1:92" s="741" customFormat="1" ht="12.75">
      <c r="A423" s="434">
        <v>204</v>
      </c>
      <c r="B423" s="203" t="s">
        <v>1755</v>
      </c>
      <c r="C423" s="89" t="s">
        <v>1516</v>
      </c>
      <c r="D423" s="81" t="s">
        <v>1713</v>
      </c>
      <c r="E423" s="432">
        <f>TEC381190</f>
        <v>0.058</v>
      </c>
      <c r="F423" s="140"/>
      <c r="G423" s="183"/>
      <c r="H423" s="63"/>
      <c r="I423" s="64" t="s">
        <v>172</v>
      </c>
      <c r="J423" s="64" t="s">
        <v>1544</v>
      </c>
      <c r="K423" s="388">
        <f>TEC381190</f>
        <v>0.058</v>
      </c>
      <c r="L423" s="138"/>
      <c r="M423" s="248">
        <f>TIARS</f>
        <v>63.96</v>
      </c>
      <c r="N423" s="638"/>
      <c r="O423" s="655" t="str">
        <f>P</f>
        <v>. . .</v>
      </c>
      <c r="P423" s="234" t="s">
        <v>1530</v>
      </c>
      <c r="Q423" s="186" t="str">
        <f>VI</f>
        <v>(25)</v>
      </c>
      <c r="R423" s="186" t="str">
        <f>VI</f>
        <v>(25)</v>
      </c>
      <c r="S423" s="156"/>
      <c r="T423" s="149">
        <v>5730</v>
      </c>
      <c r="U423" s="150"/>
      <c r="V423" s="11"/>
      <c r="W423" s="152" t="str">
        <f>t</f>
        <v>TVO</v>
      </c>
      <c r="X423" s="152"/>
      <c r="Y423" s="141"/>
      <c r="Z423" s="141"/>
      <c r="AA423" s="32"/>
      <c r="AB423" s="196"/>
      <c r="AC423" s="20"/>
      <c r="AD423" s="172"/>
      <c r="AE423" s="135"/>
      <c r="AF423" s="511"/>
      <c r="AG423" s="511"/>
      <c r="AH423" s="31"/>
      <c r="AI423" s="31"/>
      <c r="AJ423" s="31"/>
      <c r="AK423" s="31"/>
      <c r="AL423" s="31"/>
      <c r="AM423" s="31"/>
      <c r="AN423" s="31"/>
      <c r="AO423" s="31"/>
      <c r="AP423" s="31"/>
      <c r="AQ423" s="31"/>
      <c r="AR423" s="31"/>
      <c r="AS423" s="31"/>
      <c r="AT423" s="31"/>
      <c r="AU423" s="31"/>
      <c r="AV423" s="31"/>
      <c r="AW423" s="31"/>
      <c r="AX423" s="31"/>
      <c r="AY423" s="31"/>
      <c r="AZ423" s="31"/>
      <c r="BA423" s="31"/>
      <c r="BB423" s="31"/>
      <c r="BC423" s="31"/>
      <c r="BD423" s="31"/>
      <c r="BE423" s="31"/>
      <c r="BF423" s="31"/>
      <c r="BG423" s="31"/>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row>
    <row r="424" spans="1:92" s="741" customFormat="1" ht="12.75">
      <c r="A424" s="434"/>
      <c r="B424" s="246"/>
      <c r="C424" s="89"/>
      <c r="D424" s="81"/>
      <c r="E424" s="432"/>
      <c r="F424" s="140"/>
      <c r="G424" s="63"/>
      <c r="H424" s="63"/>
      <c r="I424" s="64"/>
      <c r="J424" s="64"/>
      <c r="K424" s="388"/>
      <c r="L424" s="138"/>
      <c r="M424" s="248"/>
      <c r="N424" s="638"/>
      <c r="O424" s="655"/>
      <c r="P424" s="234"/>
      <c r="Q424" s="186"/>
      <c r="R424" s="186"/>
      <c r="S424" s="156"/>
      <c r="T424" s="149"/>
      <c r="U424" s="150"/>
      <c r="V424" s="11"/>
      <c r="W424" s="152"/>
      <c r="X424" s="152"/>
      <c r="Y424" s="141"/>
      <c r="Z424" s="141"/>
      <c r="AA424" s="32"/>
      <c r="AB424" s="196"/>
      <c r="AC424" s="20"/>
      <c r="AD424" s="172"/>
      <c r="AE424" s="135"/>
      <c r="AF424" s="511"/>
      <c r="AG424" s="511"/>
      <c r="AH424" s="31"/>
      <c r="AI424" s="31"/>
      <c r="AJ424" s="31"/>
      <c r="AK424" s="31"/>
      <c r="AL424" s="31"/>
      <c r="AM424" s="31"/>
      <c r="AN424" s="31"/>
      <c r="AO424" s="31"/>
      <c r="AP424" s="31"/>
      <c r="AQ424" s="31"/>
      <c r="AR424" s="31"/>
      <c r="AS424" s="31"/>
      <c r="AT424" s="31"/>
      <c r="AU424" s="31"/>
      <c r="AV424" s="31"/>
      <c r="AW424" s="31"/>
      <c r="AX424" s="31"/>
      <c r="AY424" s="31"/>
      <c r="AZ424" s="31"/>
      <c r="BA424" s="31"/>
      <c r="BB424" s="31"/>
      <c r="BC424" s="31"/>
      <c r="BD424" s="31"/>
      <c r="BE424" s="31"/>
      <c r="BF424" s="31"/>
      <c r="BG424" s="31"/>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row>
    <row r="425" spans="1:59" ht="12.75">
      <c r="A425" s="434"/>
      <c r="B425" s="466"/>
      <c r="C425" s="494" t="s">
        <v>507</v>
      </c>
      <c r="D425" s="685"/>
      <c r="E425" s="432"/>
      <c r="F425" s="701"/>
      <c r="G425" s="65"/>
      <c r="H425" s="366"/>
      <c r="I425" s="64"/>
      <c r="J425" s="721"/>
      <c r="K425" s="345"/>
      <c r="L425" s="367"/>
      <c r="M425" s="248"/>
      <c r="N425" s="525"/>
      <c r="O425" s="526"/>
      <c r="P425" s="240"/>
      <c r="Q425" s="186"/>
      <c r="R425" s="186"/>
      <c r="S425" s="165"/>
      <c r="T425" s="50"/>
      <c r="U425" s="51"/>
      <c r="V425" s="52"/>
      <c r="W425" s="53"/>
      <c r="X425" s="53"/>
      <c r="Y425" s="18"/>
      <c r="Z425" s="18"/>
      <c r="AA425" s="141"/>
      <c r="AB425" s="196"/>
      <c r="AC425" s="20"/>
      <c r="AD425" s="172"/>
      <c r="AE425" s="172"/>
      <c r="AF425" s="511"/>
      <c r="AG425" s="511"/>
      <c r="AH425" s="31"/>
      <c r="AI425" s="31"/>
      <c r="AJ425" s="31"/>
      <c r="AK425" s="31"/>
      <c r="AL425" s="31"/>
      <c r="AM425" s="31"/>
      <c r="AN425" s="31"/>
      <c r="AO425" s="31"/>
      <c r="AP425" s="31"/>
      <c r="AQ425" s="31"/>
      <c r="AR425" s="31"/>
      <c r="AS425" s="31"/>
      <c r="AT425" s="31"/>
      <c r="AU425" s="31"/>
      <c r="AV425" s="31"/>
      <c r="AW425" s="31"/>
      <c r="AX425" s="31"/>
      <c r="AY425" s="31"/>
      <c r="AZ425" s="31"/>
      <c r="BA425" s="31"/>
      <c r="BB425" s="31"/>
      <c r="BC425" s="31"/>
      <c r="BD425" s="31"/>
      <c r="BE425" s="31"/>
      <c r="BF425" s="31"/>
      <c r="BG425" s="31"/>
    </row>
    <row r="426" spans="1:59" ht="12.75">
      <c r="A426" s="434"/>
      <c r="B426" s="466"/>
      <c r="C426" s="495" t="s">
        <v>508</v>
      </c>
      <c r="D426" s="685"/>
      <c r="E426" s="432"/>
      <c r="F426" s="701"/>
      <c r="G426" s="65"/>
      <c r="H426" s="366"/>
      <c r="I426" s="64"/>
      <c r="J426" s="721"/>
      <c r="K426" s="345"/>
      <c r="L426" s="367"/>
      <c r="M426" s="248"/>
      <c r="N426" s="525"/>
      <c r="O426" s="526"/>
      <c r="P426" s="240"/>
      <c r="Q426" s="186"/>
      <c r="R426" s="186"/>
      <c r="S426" s="156"/>
      <c r="T426" s="50"/>
      <c r="U426" s="51"/>
      <c r="V426" s="52"/>
      <c r="W426" s="53"/>
      <c r="X426" s="53"/>
      <c r="Y426" s="18"/>
      <c r="Z426" s="18"/>
      <c r="AA426" s="141"/>
      <c r="AB426" s="196"/>
      <c r="AC426" s="20"/>
      <c r="AD426" s="172"/>
      <c r="AE426" s="135"/>
      <c r="AF426" s="511"/>
      <c r="AG426" s="511"/>
      <c r="AH426" s="31"/>
      <c r="AI426" s="31"/>
      <c r="AJ426" s="31"/>
      <c r="AK426" s="31"/>
      <c r="AL426" s="31"/>
      <c r="AM426" s="31"/>
      <c r="AN426" s="31"/>
      <c r="AO426" s="31"/>
      <c r="AP426" s="31"/>
      <c r="AQ426" s="31"/>
      <c r="AR426" s="31"/>
      <c r="AS426" s="31"/>
      <c r="AT426" s="31"/>
      <c r="AU426" s="31"/>
      <c r="AV426" s="31"/>
      <c r="AW426" s="31"/>
      <c r="AX426" s="31"/>
      <c r="AY426" s="31"/>
      <c r="AZ426" s="31"/>
      <c r="BA426" s="31"/>
      <c r="BB426" s="31"/>
      <c r="BC426" s="31"/>
      <c r="BD426" s="31"/>
      <c r="BE426" s="31"/>
      <c r="BF426" s="31"/>
      <c r="BG426" s="31"/>
    </row>
    <row r="427" spans="1:59" ht="12.75">
      <c r="A427" s="434">
        <v>205</v>
      </c>
      <c r="B427" s="466" t="s">
        <v>509</v>
      </c>
      <c r="C427" s="520" t="s">
        <v>510</v>
      </c>
      <c r="D427" s="669" t="s">
        <v>511</v>
      </c>
      <c r="E427" s="432">
        <f>TEC3817</f>
        <v>0.063</v>
      </c>
      <c r="F427" s="376"/>
      <c r="G427" s="65"/>
      <c r="H427" s="366"/>
      <c r="I427" s="64" t="str">
        <f>R</f>
        <v>Réelle</v>
      </c>
      <c r="J427" s="532" t="s">
        <v>512</v>
      </c>
      <c r="K427" s="518">
        <f>TEC3817</f>
        <v>0.063</v>
      </c>
      <c r="L427" s="367"/>
      <c r="M427" s="248" t="str">
        <f>"(9)"</f>
        <v>(9)</v>
      </c>
      <c r="N427" s="525"/>
      <c r="O427" s="529" t="str">
        <f>P</f>
        <v>. . .</v>
      </c>
      <c r="P427" s="234" t="s">
        <v>513</v>
      </c>
      <c r="Q427" s="186" t="str">
        <f>VI</f>
        <v>(25)</v>
      </c>
      <c r="R427" s="186" t="str">
        <f>VI</f>
        <v>(25)</v>
      </c>
      <c r="S427" s="165"/>
      <c r="W427" s="53" t="str">
        <f>t</f>
        <v>TVO</v>
      </c>
      <c r="X427" s="53"/>
      <c r="Y427" s="18">
        <v>4004</v>
      </c>
      <c r="Z427" s="18">
        <v>9348</v>
      </c>
      <c r="AA427" s="18"/>
      <c r="AB427" s="196"/>
      <c r="AC427" s="20"/>
      <c r="AD427" s="175"/>
      <c r="AE427" s="31"/>
      <c r="AF427" s="31"/>
      <c r="AG427" s="31"/>
      <c r="AH427" s="31"/>
      <c r="AI427" s="31"/>
      <c r="AJ427" s="31"/>
      <c r="AK427" s="31"/>
      <c r="AL427" s="31"/>
      <c r="AM427" s="31"/>
      <c r="AN427" s="31"/>
      <c r="AO427" s="31"/>
      <c r="AP427" s="31"/>
      <c r="AQ427" s="31"/>
      <c r="AR427" s="31"/>
      <c r="AS427" s="31"/>
      <c r="AT427" s="31"/>
      <c r="AU427" s="31"/>
      <c r="AV427" s="31"/>
      <c r="AW427" s="31"/>
      <c r="AX427" s="31"/>
      <c r="AY427" s="31"/>
      <c r="AZ427" s="31"/>
      <c r="BA427" s="31"/>
      <c r="BB427" s="31"/>
      <c r="BC427" s="31"/>
      <c r="BD427" s="31"/>
      <c r="BE427" s="31"/>
      <c r="BF427" s="31"/>
      <c r="BG427" s="31"/>
    </row>
    <row r="428" spans="1:59" ht="12.75">
      <c r="A428" s="434"/>
      <c r="B428" s="466"/>
      <c r="C428" s="520" t="s">
        <v>514</v>
      </c>
      <c r="D428" s="669"/>
      <c r="E428" s="432"/>
      <c r="F428" s="376"/>
      <c r="G428" s="65"/>
      <c r="H428" s="366"/>
      <c r="I428" s="64"/>
      <c r="J428" s="532"/>
      <c r="K428" s="518"/>
      <c r="L428" s="367"/>
      <c r="M428" s="248"/>
      <c r="N428" s="525"/>
      <c r="O428" s="529"/>
      <c r="P428" s="234"/>
      <c r="Q428" s="186"/>
      <c r="R428" s="186"/>
      <c r="S428" s="519"/>
      <c r="W428" s="73"/>
      <c r="X428" s="73"/>
      <c r="Y428" s="32"/>
      <c r="Z428" s="32"/>
      <c r="AA428" s="18"/>
      <c r="AB428" s="196"/>
      <c r="AC428" s="20"/>
      <c r="AD428" s="175"/>
      <c r="AE428" s="31"/>
      <c r="AF428" s="31"/>
      <c r="AG428" s="31"/>
      <c r="AH428" s="31"/>
      <c r="AI428" s="31"/>
      <c r="AJ428" s="31"/>
      <c r="AK428" s="31"/>
      <c r="AL428" s="31"/>
      <c r="AM428" s="31"/>
      <c r="AN428" s="31"/>
      <c r="AO428" s="31"/>
      <c r="AP428" s="31"/>
      <c r="AQ428" s="31"/>
      <c r="AR428" s="31"/>
      <c r="AS428" s="31"/>
      <c r="AT428" s="31"/>
      <c r="AU428" s="31"/>
      <c r="AV428" s="31"/>
      <c r="AW428" s="31"/>
      <c r="AX428" s="31"/>
      <c r="AY428" s="31"/>
      <c r="AZ428" s="31"/>
      <c r="BA428" s="31"/>
      <c r="BB428" s="31"/>
      <c r="BC428" s="31"/>
      <c r="BD428" s="31"/>
      <c r="BE428" s="31"/>
      <c r="BF428" s="31"/>
      <c r="BG428" s="31"/>
    </row>
    <row r="429" spans="1:59" ht="18.75">
      <c r="A429" s="434"/>
      <c r="B429" s="466"/>
      <c r="C429" s="520" t="s">
        <v>0</v>
      </c>
      <c r="D429" s="669"/>
      <c r="E429" s="432"/>
      <c r="F429" s="376"/>
      <c r="G429" s="65"/>
      <c r="H429" s="366"/>
      <c r="I429" s="64"/>
      <c r="J429" s="532"/>
      <c r="K429" s="518"/>
      <c r="L429" s="367"/>
      <c r="M429" s="248"/>
      <c r="N429" s="525"/>
      <c r="O429" s="529"/>
      <c r="P429" s="234"/>
      <c r="Q429" s="186"/>
      <c r="R429" s="186"/>
      <c r="S429" s="519"/>
      <c r="W429" s="73"/>
      <c r="X429" s="73"/>
      <c r="Y429" s="32"/>
      <c r="Z429" s="32"/>
      <c r="AA429" s="18"/>
      <c r="AB429" s="196"/>
      <c r="AC429" s="20"/>
      <c r="AD429" s="175"/>
      <c r="AE429" s="31"/>
      <c r="AF429" s="31"/>
      <c r="AG429" s="31"/>
      <c r="AH429" s="31"/>
      <c r="AI429" s="31"/>
      <c r="AJ429" s="31"/>
      <c r="AK429" s="31"/>
      <c r="AL429" s="31"/>
      <c r="AM429" s="31"/>
      <c r="AN429" s="31"/>
      <c r="AO429" s="31"/>
      <c r="AP429" s="31"/>
      <c r="AQ429" s="31"/>
      <c r="AR429" s="31"/>
      <c r="AS429" s="31"/>
      <c r="AT429" s="31"/>
      <c r="AU429" s="31"/>
      <c r="AV429" s="31"/>
      <c r="AW429" s="31"/>
      <c r="AX429" s="31"/>
      <c r="AY429" s="31"/>
      <c r="AZ429" s="31"/>
      <c r="BA429" s="31"/>
      <c r="BB429" s="31"/>
      <c r="BC429" s="31"/>
      <c r="BD429" s="31"/>
      <c r="BE429" s="31"/>
      <c r="BF429" s="31"/>
      <c r="BG429" s="31"/>
    </row>
    <row r="430" spans="1:59" ht="24" customHeight="1">
      <c r="A430" s="434">
        <v>206</v>
      </c>
      <c r="B430" s="290" t="s">
        <v>1</v>
      </c>
      <c r="C430" s="520" t="s">
        <v>1757</v>
      </c>
      <c r="D430" s="81" t="s">
        <v>515</v>
      </c>
      <c r="E430" s="432">
        <f>TEC3817</f>
        <v>0.063</v>
      </c>
      <c r="F430" s="376"/>
      <c r="G430" s="521"/>
      <c r="H430" s="184"/>
      <c r="I430" s="64" t="str">
        <f>R</f>
        <v>Réelle</v>
      </c>
      <c r="J430" s="532" t="s">
        <v>516</v>
      </c>
      <c r="K430" s="522">
        <f>TEC3817</f>
        <v>0.063</v>
      </c>
      <c r="L430" s="523"/>
      <c r="M430" s="248" t="s">
        <v>517</v>
      </c>
      <c r="N430" s="525"/>
      <c r="O430" s="665">
        <f>TGAP</f>
        <v>3.811</v>
      </c>
      <c r="P430" s="234" t="s">
        <v>518</v>
      </c>
      <c r="Q430" s="186" t="str">
        <f>VI</f>
        <v>(25)</v>
      </c>
      <c r="R430" s="186" t="str">
        <f>VI</f>
        <v>(25)</v>
      </c>
      <c r="S430" s="519"/>
      <c r="T430" s="70">
        <v>5703</v>
      </c>
      <c r="U430" s="71" t="s">
        <v>519</v>
      </c>
      <c r="W430" s="53" t="str">
        <f>t</f>
        <v>TVO</v>
      </c>
      <c r="X430" s="53"/>
      <c r="Y430" s="18">
        <v>4004</v>
      </c>
      <c r="Z430" s="32">
        <v>9181</v>
      </c>
      <c r="AA430" s="18" t="s">
        <v>520</v>
      </c>
      <c r="AB430" s="196"/>
      <c r="AC430" s="20"/>
      <c r="AD430" s="175"/>
      <c r="AE430" s="31"/>
      <c r="AF430" s="31"/>
      <c r="AG430" s="31"/>
      <c r="AH430" s="31"/>
      <c r="AI430" s="31"/>
      <c r="AJ430" s="31"/>
      <c r="AK430" s="31"/>
      <c r="AL430" s="31"/>
      <c r="AM430" s="31"/>
      <c r="AN430" s="31"/>
      <c r="AO430" s="31"/>
      <c r="AP430" s="31"/>
      <c r="AQ430" s="31"/>
      <c r="AR430" s="31"/>
      <c r="AS430" s="31"/>
      <c r="AT430" s="31"/>
      <c r="AU430" s="31"/>
      <c r="AV430" s="31"/>
      <c r="AW430" s="31"/>
      <c r="AX430" s="31"/>
      <c r="AY430" s="31"/>
      <c r="AZ430" s="31"/>
      <c r="BA430" s="31"/>
      <c r="BB430" s="31"/>
      <c r="BC430" s="31"/>
      <c r="BD430" s="31"/>
      <c r="BE430" s="31"/>
      <c r="BF430" s="31"/>
      <c r="BG430" s="31"/>
    </row>
    <row r="431" spans="1:92" s="444" customFormat="1" ht="12.75">
      <c r="A431" s="434">
        <v>207</v>
      </c>
      <c r="B431" s="74" t="s">
        <v>3</v>
      </c>
      <c r="C431" s="520" t="s">
        <v>2</v>
      </c>
      <c r="D431" s="669" t="s">
        <v>521</v>
      </c>
      <c r="E431" s="432">
        <f>TEC3817</f>
        <v>0.063</v>
      </c>
      <c r="F431" s="376"/>
      <c r="G431" s="65"/>
      <c r="H431" s="366"/>
      <c r="I431" s="64" t="str">
        <f>R</f>
        <v>Réelle</v>
      </c>
      <c r="J431" s="532" t="s">
        <v>522</v>
      </c>
      <c r="K431" s="518">
        <f>TEC3817</f>
        <v>0.063</v>
      </c>
      <c r="L431" s="367"/>
      <c r="M431" s="248" t="str">
        <f>"(9)"</f>
        <v>(9)</v>
      </c>
      <c r="N431" s="525"/>
      <c r="O431" s="529" t="str">
        <f>P</f>
        <v>. . .</v>
      </c>
      <c r="P431" s="234" t="s">
        <v>523</v>
      </c>
      <c r="Q431" s="186" t="str">
        <f>VI</f>
        <v>(25)</v>
      </c>
      <c r="R431" s="186" t="str">
        <f>VI</f>
        <v>(25)</v>
      </c>
      <c r="S431" s="519"/>
      <c r="T431" s="9"/>
      <c r="U431" s="10"/>
      <c r="V431" s="330"/>
      <c r="W431" s="53" t="str">
        <f>t</f>
        <v>TVO</v>
      </c>
      <c r="X431" s="53"/>
      <c r="Y431" s="18">
        <v>4004</v>
      </c>
      <c r="Z431" s="18"/>
      <c r="AA431" s="18"/>
      <c r="AB431" s="196"/>
      <c r="AC431" s="20"/>
      <c r="AD431" s="175"/>
      <c r="AE431" s="31"/>
      <c r="AF431" s="31"/>
      <c r="AG431" s="31"/>
      <c r="AH431" s="31"/>
      <c r="AI431" s="31"/>
      <c r="AJ431" s="31"/>
      <c r="AK431" s="31"/>
      <c r="AL431" s="31"/>
      <c r="AM431" s="31"/>
      <c r="AN431" s="31"/>
      <c r="AO431" s="31"/>
      <c r="AP431" s="31"/>
      <c r="AQ431" s="31"/>
      <c r="AR431" s="31"/>
      <c r="AS431" s="31"/>
      <c r="AT431" s="31"/>
      <c r="AU431" s="31"/>
      <c r="AV431" s="31"/>
      <c r="AW431" s="31"/>
      <c r="AX431" s="31"/>
      <c r="AY431" s="31"/>
      <c r="AZ431" s="31"/>
      <c r="BA431" s="31"/>
      <c r="BB431" s="31"/>
      <c r="BC431" s="31"/>
      <c r="BD431" s="31"/>
      <c r="BE431" s="31"/>
      <c r="BF431" s="31"/>
      <c r="BG431" s="31"/>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row>
    <row r="432" spans="1:92" s="444" customFormat="1" ht="12.75">
      <c r="A432" s="434"/>
      <c r="B432" s="74"/>
      <c r="C432" s="497" t="s">
        <v>1758</v>
      </c>
      <c r="D432" s="669"/>
      <c r="E432" s="432"/>
      <c r="F432" s="376"/>
      <c r="G432" s="65"/>
      <c r="H432" s="366"/>
      <c r="I432" s="64"/>
      <c r="J432" s="532"/>
      <c r="K432" s="518"/>
      <c r="L432" s="367"/>
      <c r="M432" s="248"/>
      <c r="N432" s="525"/>
      <c r="O432" s="529"/>
      <c r="P432" s="234"/>
      <c r="Q432" s="186"/>
      <c r="R432" s="186"/>
      <c r="S432" s="519"/>
      <c r="T432" s="9"/>
      <c r="U432" s="10"/>
      <c r="V432" s="330"/>
      <c r="W432" s="53"/>
      <c r="X432" s="53"/>
      <c r="Y432" s="18"/>
      <c r="Z432" s="18"/>
      <c r="AA432" s="18"/>
      <c r="AB432" s="196"/>
      <c r="AC432" s="20"/>
      <c r="AD432" s="175"/>
      <c r="AE432" s="31"/>
      <c r="AF432" s="31"/>
      <c r="AG432" s="31"/>
      <c r="AH432" s="31"/>
      <c r="AI432" s="31"/>
      <c r="AJ432" s="31"/>
      <c r="AK432" s="31"/>
      <c r="AL432" s="31"/>
      <c r="AM432" s="31"/>
      <c r="AN432" s="31"/>
      <c r="AO432" s="31"/>
      <c r="AP432" s="31"/>
      <c r="AQ432" s="31"/>
      <c r="AR432" s="31"/>
      <c r="AS432" s="31"/>
      <c r="AT432" s="31"/>
      <c r="AU432" s="31"/>
      <c r="AV432" s="31"/>
      <c r="AW432" s="31"/>
      <c r="AX432" s="31"/>
      <c r="AY432" s="31"/>
      <c r="AZ432" s="31"/>
      <c r="BA432" s="31"/>
      <c r="BB432" s="31"/>
      <c r="BC432" s="31"/>
      <c r="BD432" s="31"/>
      <c r="BE432" s="31"/>
      <c r="BF432" s="31"/>
      <c r="BG432" s="31"/>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row>
    <row r="433" spans="1:59" ht="24" customHeight="1">
      <c r="A433" s="434">
        <v>208</v>
      </c>
      <c r="B433" s="290" t="s">
        <v>4</v>
      </c>
      <c r="C433" s="520" t="s">
        <v>1757</v>
      </c>
      <c r="D433" s="81" t="s">
        <v>209</v>
      </c>
      <c r="E433" s="432">
        <f>TEC3817</f>
        <v>0.063</v>
      </c>
      <c r="F433" s="376"/>
      <c r="G433" s="521"/>
      <c r="H433" s="184"/>
      <c r="I433" s="64" t="str">
        <f>R</f>
        <v>Réelle</v>
      </c>
      <c r="J433" s="532" t="s">
        <v>255</v>
      </c>
      <c r="K433" s="522">
        <f>TEC3817</f>
        <v>0.063</v>
      </c>
      <c r="L433" s="523"/>
      <c r="M433" s="248" t="s">
        <v>26</v>
      </c>
      <c r="N433" s="525"/>
      <c r="O433" s="665">
        <f>TGAP</f>
        <v>3.811</v>
      </c>
      <c r="P433" s="234" t="s">
        <v>209</v>
      </c>
      <c r="Q433" s="186" t="str">
        <f>VI</f>
        <v>(25)</v>
      </c>
      <c r="R433" s="186" t="str">
        <f>VI</f>
        <v>(25)</v>
      </c>
      <c r="S433" s="519"/>
      <c r="T433" s="70">
        <v>5703</v>
      </c>
      <c r="U433" s="71" t="s">
        <v>429</v>
      </c>
      <c r="W433" s="53" t="str">
        <f>t</f>
        <v>TVO</v>
      </c>
      <c r="X433" s="53"/>
      <c r="Y433" s="18">
        <v>4004</v>
      </c>
      <c r="Z433" s="32">
        <v>9181</v>
      </c>
      <c r="AA433" s="18" t="s">
        <v>419</v>
      </c>
      <c r="AB433" s="196"/>
      <c r="AC433" s="20"/>
      <c r="AD433" s="175"/>
      <c r="AE433" s="31"/>
      <c r="AF433" s="31"/>
      <c r="AG433" s="31"/>
      <c r="AH433" s="31"/>
      <c r="AI433" s="31"/>
      <c r="AJ433" s="31"/>
      <c r="AK433" s="31"/>
      <c r="AL433" s="31"/>
      <c r="AM433" s="31"/>
      <c r="AN433" s="31"/>
      <c r="AO433" s="31"/>
      <c r="AP433" s="31"/>
      <c r="AQ433" s="31"/>
      <c r="AR433" s="31"/>
      <c r="AS433" s="31"/>
      <c r="AT433" s="31"/>
      <c r="AU433" s="31"/>
      <c r="AV433" s="31"/>
      <c r="AW433" s="31"/>
      <c r="AX433" s="31"/>
      <c r="AY433" s="31"/>
      <c r="AZ433" s="31"/>
      <c r="BA433" s="31"/>
      <c r="BB433" s="31"/>
      <c r="BC433" s="31"/>
      <c r="BD433" s="31"/>
      <c r="BE433" s="31"/>
      <c r="BF433" s="31"/>
      <c r="BG433" s="31"/>
    </row>
    <row r="434" spans="1:92" s="444" customFormat="1" ht="12.75">
      <c r="A434" s="434">
        <v>209</v>
      </c>
      <c r="B434" s="74" t="s">
        <v>5</v>
      </c>
      <c r="C434" s="497" t="s">
        <v>1756</v>
      </c>
      <c r="D434" s="669" t="s">
        <v>209</v>
      </c>
      <c r="E434" s="432">
        <f>TEC3817</f>
        <v>0.063</v>
      </c>
      <c r="F434" s="376"/>
      <c r="G434" s="65"/>
      <c r="H434" s="366"/>
      <c r="I434" s="64" t="str">
        <f>R</f>
        <v>Réelle</v>
      </c>
      <c r="J434" s="532" t="s">
        <v>255</v>
      </c>
      <c r="K434" s="518">
        <f>TEC3817</f>
        <v>0.063</v>
      </c>
      <c r="L434" s="367"/>
      <c r="M434" s="248" t="str">
        <f>"(9)"</f>
        <v>(9)</v>
      </c>
      <c r="N434" s="525"/>
      <c r="O434" s="529" t="str">
        <f>P</f>
        <v>. . .</v>
      </c>
      <c r="P434" s="234" t="s">
        <v>209</v>
      </c>
      <c r="Q434" s="186" t="str">
        <f>VI</f>
        <v>(25)</v>
      </c>
      <c r="R434" s="186" t="str">
        <f>VI</f>
        <v>(25)</v>
      </c>
      <c r="S434" s="519"/>
      <c r="T434" s="9"/>
      <c r="U434" s="10"/>
      <c r="V434" s="330"/>
      <c r="W434" s="53" t="str">
        <f>t</f>
        <v>TVO</v>
      </c>
      <c r="X434" s="53"/>
      <c r="Y434" s="18">
        <v>4004</v>
      </c>
      <c r="Z434" s="18"/>
      <c r="AA434" s="18"/>
      <c r="AB434" s="196"/>
      <c r="AC434" s="20"/>
      <c r="AD434" s="175"/>
      <c r="AE434" s="31"/>
      <c r="AF434" s="31"/>
      <c r="AG434" s="31"/>
      <c r="AH434" s="31"/>
      <c r="AI434" s="31"/>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G434" s="31"/>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row>
    <row r="435" spans="1:92" s="444" customFormat="1" ht="12.75">
      <c r="A435" s="434"/>
      <c r="B435" s="74"/>
      <c r="C435" s="497"/>
      <c r="D435" s="669"/>
      <c r="E435" s="432"/>
      <c r="F435" s="376"/>
      <c r="G435" s="65"/>
      <c r="H435" s="366"/>
      <c r="I435" s="64"/>
      <c r="J435" s="532"/>
      <c r="K435" s="518"/>
      <c r="L435" s="367"/>
      <c r="M435" s="248"/>
      <c r="N435" s="525"/>
      <c r="O435" s="529"/>
      <c r="P435" s="234"/>
      <c r="Q435" s="186"/>
      <c r="R435" s="186"/>
      <c r="S435" s="519"/>
      <c r="T435" s="9"/>
      <c r="U435" s="10"/>
      <c r="V435" s="330"/>
      <c r="W435" s="53"/>
      <c r="X435" s="53"/>
      <c r="Y435" s="18"/>
      <c r="Z435" s="18"/>
      <c r="AA435" s="18"/>
      <c r="AB435" s="196"/>
      <c r="AC435" s="20"/>
      <c r="AD435" s="175"/>
      <c r="AE435" s="31"/>
      <c r="AF435" s="31"/>
      <c r="AG435" s="31"/>
      <c r="AH435" s="31"/>
      <c r="AI435" s="31"/>
      <c r="AJ435" s="31"/>
      <c r="AK435" s="31"/>
      <c r="AL435" s="31"/>
      <c r="AM435" s="31"/>
      <c r="AN435" s="31"/>
      <c r="AO435" s="31"/>
      <c r="AP435" s="31"/>
      <c r="AQ435" s="31"/>
      <c r="AR435" s="31"/>
      <c r="AS435" s="31"/>
      <c r="AT435" s="31"/>
      <c r="AU435" s="31"/>
      <c r="AV435" s="31"/>
      <c r="AW435" s="31"/>
      <c r="AX435" s="31"/>
      <c r="AY435" s="31"/>
      <c r="AZ435" s="31"/>
      <c r="BA435" s="31"/>
      <c r="BB435" s="31"/>
      <c r="BC435" s="31"/>
      <c r="BD435" s="31"/>
      <c r="BE435" s="31"/>
      <c r="BF435" s="31"/>
      <c r="BG435" s="31"/>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row>
    <row r="436" spans="1:59" ht="12.75">
      <c r="A436" s="434"/>
      <c r="B436" s="466"/>
      <c r="C436" s="524" t="s">
        <v>524</v>
      </c>
      <c r="D436" s="685"/>
      <c r="E436" s="432"/>
      <c r="F436" s="701"/>
      <c r="G436" s="65"/>
      <c r="H436" s="366"/>
      <c r="I436" s="64"/>
      <c r="J436" s="721"/>
      <c r="K436" s="345"/>
      <c r="L436" s="367"/>
      <c r="M436" s="248"/>
      <c r="N436" s="525"/>
      <c r="O436" s="526"/>
      <c r="P436" s="240"/>
      <c r="Q436" s="186"/>
      <c r="R436" s="186"/>
      <c r="S436" s="165"/>
      <c r="T436" s="70"/>
      <c r="U436" s="71"/>
      <c r="V436" s="72"/>
      <c r="W436" s="53"/>
      <c r="X436" s="53"/>
      <c r="Y436" s="18"/>
      <c r="Z436" s="18"/>
      <c r="AA436" s="32"/>
      <c r="AB436" s="196"/>
      <c r="AC436" s="20"/>
      <c r="AD436" s="175"/>
      <c r="AE436" s="31"/>
      <c r="AF436" s="31"/>
      <c r="AG436" s="31"/>
      <c r="AH436" s="31"/>
      <c r="AI436" s="31"/>
      <c r="AJ436" s="31"/>
      <c r="AK436" s="31"/>
      <c r="AL436" s="31"/>
      <c r="AM436" s="31"/>
      <c r="AN436" s="31"/>
      <c r="AO436" s="31"/>
      <c r="AP436" s="31"/>
      <c r="AQ436" s="31"/>
      <c r="AR436" s="31"/>
      <c r="AS436" s="31"/>
      <c r="AT436" s="31"/>
      <c r="AU436" s="31"/>
      <c r="AV436" s="31"/>
      <c r="AW436" s="31"/>
      <c r="AX436" s="31"/>
      <c r="AY436" s="31"/>
      <c r="AZ436" s="31"/>
      <c r="BA436" s="31"/>
      <c r="BB436" s="31"/>
      <c r="BC436" s="31"/>
      <c r="BD436" s="31"/>
      <c r="BE436" s="31"/>
      <c r="BF436" s="31"/>
      <c r="BG436" s="31"/>
    </row>
    <row r="437" spans="1:59" ht="12.75">
      <c r="A437" s="434"/>
      <c r="B437" s="466"/>
      <c r="C437" s="524"/>
      <c r="D437" s="685"/>
      <c r="E437" s="432"/>
      <c r="F437" s="701"/>
      <c r="G437" s="65"/>
      <c r="H437" s="366"/>
      <c r="I437" s="64"/>
      <c r="J437" s="721"/>
      <c r="K437" s="345"/>
      <c r="L437" s="367"/>
      <c r="M437" s="248"/>
      <c r="N437" s="525"/>
      <c r="O437" s="526"/>
      <c r="P437" s="240"/>
      <c r="Q437" s="186"/>
      <c r="R437" s="186"/>
      <c r="S437" s="165"/>
      <c r="T437" s="50"/>
      <c r="U437" s="51"/>
      <c r="V437" s="52"/>
      <c r="W437" s="53"/>
      <c r="X437" s="53"/>
      <c r="Y437" s="18"/>
      <c r="Z437" s="18"/>
      <c r="AA437" s="32"/>
      <c r="AB437" s="196"/>
      <c r="AC437" s="20"/>
      <c r="AD437" s="175"/>
      <c r="AE437" s="31"/>
      <c r="AF437" s="31"/>
      <c r="AG437" s="31"/>
      <c r="AH437" s="31"/>
      <c r="AI437" s="31"/>
      <c r="AJ437" s="31"/>
      <c r="AK437" s="31"/>
      <c r="AL437" s="31"/>
      <c r="AM437" s="31"/>
      <c r="AN437" s="31"/>
      <c r="AO437" s="31"/>
      <c r="AP437" s="31"/>
      <c r="AQ437" s="31"/>
      <c r="AR437" s="31"/>
      <c r="AS437" s="31"/>
      <c r="AT437" s="31"/>
      <c r="AU437" s="31"/>
      <c r="AV437" s="31"/>
      <c r="AW437" s="31"/>
      <c r="AX437" s="31"/>
      <c r="AY437" s="31"/>
      <c r="AZ437" s="31"/>
      <c r="BA437" s="31"/>
      <c r="BB437" s="31"/>
      <c r="BC437" s="31"/>
      <c r="BD437" s="31"/>
      <c r="BE437" s="31"/>
      <c r="BF437" s="31"/>
      <c r="BG437" s="31"/>
    </row>
    <row r="438" spans="1:59" ht="30" customHeight="1">
      <c r="A438" s="447">
        <v>210</v>
      </c>
      <c r="B438" s="527" t="s">
        <v>6</v>
      </c>
      <c r="C438" s="528" t="s">
        <v>525</v>
      </c>
      <c r="D438" s="669" t="s">
        <v>526</v>
      </c>
      <c r="E438" s="432">
        <f>TEC38249095</f>
        <v>0.065</v>
      </c>
      <c r="F438" s="140"/>
      <c r="G438" s="372"/>
      <c r="H438" s="109"/>
      <c r="I438" s="532">
        <f>VFFOD</f>
        <v>39.59</v>
      </c>
      <c r="J438" s="64" t="s">
        <v>527</v>
      </c>
      <c r="K438" s="201">
        <f>ROUND(I438*TEC38249095,2)</f>
        <v>2.57</v>
      </c>
      <c r="L438" s="139"/>
      <c r="M438" s="248">
        <f>TIEEGsce</f>
        <v>1.8</v>
      </c>
      <c r="N438" s="184"/>
      <c r="O438" s="529" t="str">
        <f>P</f>
        <v>. . .</v>
      </c>
      <c r="P438" s="234" t="s">
        <v>528</v>
      </c>
      <c r="Q438" s="186">
        <f>SUM(I438:P438)*19.6%</f>
        <v>8.61616</v>
      </c>
      <c r="R438" s="186">
        <f>SUM(I438:P438)*13%</f>
        <v>5.7148</v>
      </c>
      <c r="S438" s="165"/>
      <c r="T438" s="50">
        <v>5709</v>
      </c>
      <c r="U438" s="51"/>
      <c r="W438" s="185">
        <v>5939</v>
      </c>
      <c r="X438" s="185"/>
      <c r="Y438" s="18">
        <v>9309</v>
      </c>
      <c r="Z438" s="18"/>
      <c r="AA438" s="32"/>
      <c r="AB438" s="196"/>
      <c r="AC438" s="20"/>
      <c r="AD438" s="175"/>
      <c r="AE438" s="31"/>
      <c r="AF438" s="31"/>
      <c r="AG438" s="31"/>
      <c r="AH438" s="31"/>
      <c r="AI438" s="31"/>
      <c r="AJ438" s="31"/>
      <c r="AK438" s="31"/>
      <c r="AL438" s="31"/>
      <c r="AM438" s="31"/>
      <c r="AN438" s="31"/>
      <c r="AO438" s="31"/>
      <c r="AP438" s="31"/>
      <c r="AQ438" s="31"/>
      <c r="AR438" s="31"/>
      <c r="AS438" s="31"/>
      <c r="AT438" s="31"/>
      <c r="AU438" s="31"/>
      <c r="AV438" s="31"/>
      <c r="AW438" s="31"/>
      <c r="AX438" s="31"/>
      <c r="AY438" s="31"/>
      <c r="AZ438" s="31"/>
      <c r="BA438" s="31"/>
      <c r="BB438" s="31"/>
      <c r="BC438" s="31"/>
      <c r="BD438" s="31"/>
      <c r="BE438" s="31"/>
      <c r="BF438" s="31"/>
      <c r="BG438" s="31"/>
    </row>
    <row r="439" spans="1:59" ht="12.75">
      <c r="A439" s="434"/>
      <c r="B439" s="530"/>
      <c r="C439" s="531"/>
      <c r="D439" s="669"/>
      <c r="E439" s="432"/>
      <c r="F439" s="140"/>
      <c r="G439" s="372"/>
      <c r="H439" s="109"/>
      <c r="I439" s="64"/>
      <c r="J439" s="64"/>
      <c r="K439" s="202"/>
      <c r="L439" s="139"/>
      <c r="M439" s="248"/>
      <c r="N439" s="184"/>
      <c r="O439" s="532"/>
      <c r="P439" s="234"/>
      <c r="Q439" s="186"/>
      <c r="R439" s="186"/>
      <c r="S439" s="165"/>
      <c r="T439" s="50"/>
      <c r="U439" s="51"/>
      <c r="W439" s="53"/>
      <c r="X439" s="53"/>
      <c r="Y439" s="18"/>
      <c r="Z439" s="18"/>
      <c r="AA439" s="18"/>
      <c r="AB439" s="196"/>
      <c r="AC439" s="20"/>
      <c r="AD439" s="175"/>
      <c r="AE439" s="31"/>
      <c r="AF439" s="31"/>
      <c r="AG439" s="31"/>
      <c r="AH439" s="31"/>
      <c r="AI439" s="31"/>
      <c r="AJ439" s="31"/>
      <c r="AK439" s="31"/>
      <c r="AL439" s="31"/>
      <c r="AM439" s="31"/>
      <c r="AN439" s="31"/>
      <c r="AO439" s="31"/>
      <c r="AP439" s="31"/>
      <c r="AQ439" s="31"/>
      <c r="AR439" s="31"/>
      <c r="AS439" s="31"/>
      <c r="AT439" s="31"/>
      <c r="AU439" s="31"/>
      <c r="AV439" s="31"/>
      <c r="AW439" s="31"/>
      <c r="AX439" s="31"/>
      <c r="AY439" s="31"/>
      <c r="AZ439" s="31"/>
      <c r="BA439" s="31"/>
      <c r="BB439" s="31"/>
      <c r="BC439" s="31"/>
      <c r="BD439" s="31"/>
      <c r="BE439" s="31"/>
      <c r="BF439" s="31"/>
      <c r="BG439" s="31"/>
    </row>
    <row r="440" spans="1:59" ht="27">
      <c r="A440" s="447">
        <v>211</v>
      </c>
      <c r="B440" s="533" t="s">
        <v>7</v>
      </c>
      <c r="C440" s="531" t="s">
        <v>529</v>
      </c>
      <c r="D440" s="669" t="s">
        <v>530</v>
      </c>
      <c r="E440" s="432">
        <f>TEC38249095</f>
        <v>0.065</v>
      </c>
      <c r="F440" s="140"/>
      <c r="G440" s="93"/>
      <c r="H440" s="109"/>
      <c r="I440" s="532">
        <f>VFGO</f>
        <v>38.35</v>
      </c>
      <c r="J440" s="64" t="s">
        <v>531</v>
      </c>
      <c r="K440" s="201">
        <f>ROUND(I440*TEC38249095,2)</f>
        <v>2.49</v>
      </c>
      <c r="L440" s="534"/>
      <c r="M440" s="248">
        <f>TIEEGcarb</f>
        <v>24.54</v>
      </c>
      <c r="N440" s="184"/>
      <c r="O440" s="529" t="str">
        <f>P</f>
        <v>. . .</v>
      </c>
      <c r="P440" s="234" t="s">
        <v>532</v>
      </c>
      <c r="Q440" s="186">
        <f>SUM(I440:P440)*19.6%</f>
        <v>12.81448</v>
      </c>
      <c r="R440" s="186">
        <f>SUM(I440:P440)*13%</f>
        <v>8.4994</v>
      </c>
      <c r="S440" s="165"/>
      <c r="T440" s="535">
        <v>5718</v>
      </c>
      <c r="U440" s="536"/>
      <c r="W440" s="537">
        <v>5940</v>
      </c>
      <c r="X440" s="537"/>
      <c r="Y440" s="538">
        <v>9309</v>
      </c>
      <c r="Z440" s="18"/>
      <c r="AA440" s="18"/>
      <c r="AB440" s="196"/>
      <c r="AC440" s="20"/>
      <c r="AD440" s="172"/>
      <c r="AE440" s="172"/>
      <c r="AF440" s="511"/>
      <c r="AG440" s="511"/>
      <c r="AH440" s="31"/>
      <c r="AI440" s="31"/>
      <c r="AJ440" s="31"/>
      <c r="AK440" s="31"/>
      <c r="AL440" s="31"/>
      <c r="AM440" s="31"/>
      <c r="AN440" s="31"/>
      <c r="AO440" s="31"/>
      <c r="AP440" s="31"/>
      <c r="AQ440" s="31"/>
      <c r="AR440" s="31"/>
      <c r="AS440" s="31"/>
      <c r="AT440" s="31"/>
      <c r="AU440" s="31"/>
      <c r="AV440" s="31"/>
      <c r="AW440" s="31"/>
      <c r="AX440" s="31"/>
      <c r="AY440" s="31"/>
      <c r="AZ440" s="31"/>
      <c r="BA440" s="31"/>
      <c r="BB440" s="31"/>
      <c r="BC440" s="31"/>
      <c r="BD440" s="31"/>
      <c r="BE440" s="31"/>
      <c r="BF440" s="31"/>
      <c r="BG440" s="31"/>
    </row>
    <row r="441" spans="1:59" ht="12.75">
      <c r="A441" s="434"/>
      <c r="B441" s="530"/>
      <c r="C441" s="539"/>
      <c r="D441" s="669"/>
      <c r="E441" s="432"/>
      <c r="F441" s="140"/>
      <c r="G441" s="372"/>
      <c r="H441" s="109"/>
      <c r="I441" s="64"/>
      <c r="J441" s="64"/>
      <c r="K441" s="202"/>
      <c r="L441" s="139"/>
      <c r="M441" s="248"/>
      <c r="N441" s="184"/>
      <c r="O441" s="532"/>
      <c r="P441" s="234"/>
      <c r="Q441" s="186"/>
      <c r="R441" s="186"/>
      <c r="S441" s="540"/>
      <c r="T441" s="149"/>
      <c r="U441" s="150"/>
      <c r="V441" s="151"/>
      <c r="W441" s="152"/>
      <c r="X441" s="152"/>
      <c r="Y441" s="141"/>
      <c r="Z441" s="141"/>
      <c r="AA441" s="18"/>
      <c r="AB441" s="196"/>
      <c r="AC441" s="20"/>
      <c r="AD441" s="175"/>
      <c r="AE441" s="31"/>
      <c r="AF441" s="31"/>
      <c r="AG441" s="31"/>
      <c r="AH441" s="31"/>
      <c r="AI441" s="31"/>
      <c r="AJ441" s="31"/>
      <c r="AK441" s="31"/>
      <c r="AL441" s="31"/>
      <c r="AM441" s="31"/>
      <c r="AN441" s="31"/>
      <c r="AO441" s="31"/>
      <c r="AP441" s="31"/>
      <c r="AQ441" s="31"/>
      <c r="AR441" s="31"/>
      <c r="AS441" s="31"/>
      <c r="AT441" s="31"/>
      <c r="AU441" s="31"/>
      <c r="AV441" s="31"/>
      <c r="AW441" s="31"/>
      <c r="AX441" s="31"/>
      <c r="AY441" s="31"/>
      <c r="AZ441" s="31"/>
      <c r="BA441" s="31"/>
      <c r="BB441" s="31"/>
      <c r="BC441" s="31"/>
      <c r="BD441" s="31"/>
      <c r="BE441" s="31"/>
      <c r="BF441" s="31"/>
      <c r="BG441" s="31"/>
    </row>
    <row r="442" spans="1:59" ht="33" customHeight="1" thickBot="1">
      <c r="A442" s="541">
        <v>212</v>
      </c>
      <c r="B442" s="542" t="s">
        <v>8</v>
      </c>
      <c r="C442" s="543" t="s">
        <v>533</v>
      </c>
      <c r="D442" s="671" t="s">
        <v>534</v>
      </c>
      <c r="E442" s="689">
        <f>TEC38249095</f>
        <v>0.065</v>
      </c>
      <c r="F442" s="690"/>
      <c r="G442" s="544" t="s">
        <v>535</v>
      </c>
      <c r="H442" s="545" t="s">
        <v>536</v>
      </c>
      <c r="I442" s="656">
        <f>VFGO</f>
        <v>38.35</v>
      </c>
      <c r="J442" s="708" t="s">
        <v>255</v>
      </c>
      <c r="K442" s="342">
        <f>ROUND(I442*TEC38249095,2)</f>
        <v>2.49</v>
      </c>
      <c r="L442" s="193"/>
      <c r="M442" s="194" t="s">
        <v>537</v>
      </c>
      <c r="N442" s="484"/>
      <c r="O442" s="666" t="str">
        <f>P</f>
        <v>. . .</v>
      </c>
      <c r="P442" s="644" t="s">
        <v>538</v>
      </c>
      <c r="Q442" s="637">
        <f>SUM(I442:P442)*19.6%</f>
        <v>8.00464</v>
      </c>
      <c r="R442" s="343">
        <f>SUM(I442:P442)*13%</f>
        <v>5.309200000000001</v>
      </c>
      <c r="S442" s="519"/>
      <c r="W442" s="157">
        <v>5941</v>
      </c>
      <c r="X442" s="157"/>
      <c r="Y442" s="141">
        <v>9309</v>
      </c>
      <c r="Z442" s="141">
        <v>4012</v>
      </c>
      <c r="AA442" s="18"/>
      <c r="AB442" s="196"/>
      <c r="AC442" s="20"/>
      <c r="AD442" s="172"/>
      <c r="AE442" s="135"/>
      <c r="AF442" s="511"/>
      <c r="AG442" s="511"/>
      <c r="AH442" s="31"/>
      <c r="AI442" s="31"/>
      <c r="AJ442" s="31"/>
      <c r="AK442" s="31"/>
      <c r="AL442" s="31"/>
      <c r="AM442" s="31"/>
      <c r="AN442" s="31"/>
      <c r="AO442" s="31"/>
      <c r="AP442" s="31"/>
      <c r="AQ442" s="31"/>
      <c r="AR442" s="31"/>
      <c r="AS442" s="31"/>
      <c r="AT442" s="31"/>
      <c r="AU442" s="31"/>
      <c r="AV442" s="31"/>
      <c r="AW442" s="31"/>
      <c r="AX442" s="31"/>
      <c r="AY442" s="31"/>
      <c r="AZ442" s="31"/>
      <c r="BA442" s="31"/>
      <c r="BB442" s="31"/>
      <c r="BC442" s="31"/>
      <c r="BD442" s="31"/>
      <c r="BE442" s="31"/>
      <c r="BF442" s="31"/>
      <c r="BG442" s="31"/>
    </row>
    <row r="443" spans="1:59" ht="12.75">
      <c r="A443" s="546"/>
      <c r="B443" s="530"/>
      <c r="C443" s="547"/>
      <c r="D443" s="530"/>
      <c r="E443" s="548"/>
      <c r="F443" s="138"/>
      <c r="G443" s="373"/>
      <c r="H443" s="109"/>
      <c r="I443" s="375"/>
      <c r="J443" s="63"/>
      <c r="K443" s="201"/>
      <c r="L443" s="139"/>
      <c r="M443" s="184"/>
      <c r="N443" s="184"/>
      <c r="O443" s="375"/>
      <c r="P443" s="375"/>
      <c r="Q443" s="184"/>
      <c r="R443" s="184"/>
      <c r="S443" s="549"/>
      <c r="T443" s="149"/>
      <c r="U443" s="150"/>
      <c r="V443" s="151"/>
      <c r="W443" s="152"/>
      <c r="X443" s="152"/>
      <c r="Y443" s="141"/>
      <c r="Z443" s="141"/>
      <c r="AA443" s="18"/>
      <c r="AB443" s="196"/>
      <c r="AC443" s="20"/>
      <c r="AD443" s="172"/>
      <c r="AE443" s="135"/>
      <c r="AF443" s="511"/>
      <c r="AG443" s="511"/>
      <c r="AH443" s="31"/>
      <c r="AI443" s="31"/>
      <c r="AJ443" s="31"/>
      <c r="AK443" s="31"/>
      <c r="AL443" s="31"/>
      <c r="AM443" s="31"/>
      <c r="AN443" s="31"/>
      <c r="AO443" s="31"/>
      <c r="AP443" s="31"/>
      <c r="AQ443" s="31"/>
      <c r="AR443" s="31"/>
      <c r="AS443" s="31"/>
      <c r="AT443" s="31"/>
      <c r="AU443" s="31"/>
      <c r="AV443" s="31"/>
      <c r="AW443" s="31"/>
      <c r="AX443" s="31"/>
      <c r="AY443" s="31"/>
      <c r="AZ443" s="31"/>
      <c r="BA443" s="31"/>
      <c r="BB443" s="31"/>
      <c r="BC443" s="31"/>
      <c r="BD443" s="31"/>
      <c r="BE443" s="31"/>
      <c r="BF443" s="31"/>
      <c r="BG443" s="31"/>
    </row>
    <row r="444" spans="1:59" ht="12.75">
      <c r="A444" s="546"/>
      <c r="B444" s="530"/>
      <c r="C444" s="547"/>
      <c r="D444" s="450"/>
      <c r="E444" s="550"/>
      <c r="F444" s="450"/>
      <c r="G444" s="551"/>
      <c r="H444" s="551"/>
      <c r="I444" s="450"/>
      <c r="J444" s="450"/>
      <c r="K444" s="552"/>
      <c r="L444" s="552"/>
      <c r="M444" s="7"/>
      <c r="O444" s="7"/>
      <c r="P444" s="7"/>
      <c r="Q444" s="7"/>
      <c r="R444" s="7"/>
      <c r="S444" s="521"/>
      <c r="AA444" s="141"/>
      <c r="AB444" s="196"/>
      <c r="AC444" s="20"/>
      <c r="AD444" s="172"/>
      <c r="AE444" s="172"/>
      <c r="AF444" s="511"/>
      <c r="AG444" s="511"/>
      <c r="AH444" s="31"/>
      <c r="AI444" s="31"/>
      <c r="AJ444" s="31"/>
      <c r="AK444" s="31"/>
      <c r="AL444" s="31"/>
      <c r="AM444" s="31"/>
      <c r="AN444" s="31"/>
      <c r="AO444" s="31"/>
      <c r="AP444" s="31"/>
      <c r="AQ444" s="31"/>
      <c r="AR444" s="31"/>
      <c r="AS444" s="31"/>
      <c r="AT444" s="31"/>
      <c r="AU444" s="31"/>
      <c r="AV444" s="31"/>
      <c r="AW444" s="31"/>
      <c r="AX444" s="31"/>
      <c r="AY444" s="31"/>
      <c r="AZ444" s="31"/>
      <c r="BA444" s="31"/>
      <c r="BB444" s="31"/>
      <c r="BC444" s="31"/>
      <c r="BD444" s="31"/>
      <c r="BE444" s="31"/>
      <c r="BF444" s="31"/>
      <c r="BG444" s="31"/>
    </row>
    <row r="445" spans="1:59" ht="12.75">
      <c r="A445" s="546"/>
      <c r="B445" s="530"/>
      <c r="C445" s="553"/>
      <c r="D445" s="530"/>
      <c r="E445" s="554"/>
      <c r="F445" s="31"/>
      <c r="G445" s="555"/>
      <c r="H445" s="292"/>
      <c r="I445" s="31"/>
      <c r="J445" s="31"/>
      <c r="K445" s="239"/>
      <c r="L445" s="239"/>
      <c r="M445" s="31"/>
      <c r="N445" s="31"/>
      <c r="O445" s="112"/>
      <c r="P445" s="31"/>
      <c r="Q445" s="134"/>
      <c r="R445" s="134"/>
      <c r="S445" s="7"/>
      <c r="T445" s="149"/>
      <c r="U445" s="150"/>
      <c r="V445" s="151"/>
      <c r="W445" s="152"/>
      <c r="X445" s="152"/>
      <c r="Y445" s="141"/>
      <c r="Z445" s="141"/>
      <c r="AA445" s="141"/>
      <c r="AB445" s="196"/>
      <c r="AC445" s="20"/>
      <c r="AD445" s="172"/>
      <c r="AE445" s="172"/>
      <c r="AF445" s="511"/>
      <c r="AG445" s="511"/>
      <c r="AH445" s="31"/>
      <c r="AI445" s="31"/>
      <c r="AJ445" s="31"/>
      <c r="AK445" s="31"/>
      <c r="AL445" s="31"/>
      <c r="AM445" s="31"/>
      <c r="AN445" s="31"/>
      <c r="AO445" s="31"/>
      <c r="AP445" s="31"/>
      <c r="AQ445" s="31"/>
      <c r="AR445" s="31"/>
      <c r="AS445" s="31"/>
      <c r="AT445" s="31"/>
      <c r="AU445" s="31"/>
      <c r="AV445" s="31"/>
      <c r="AW445" s="31"/>
      <c r="AX445" s="31"/>
      <c r="AY445" s="31"/>
      <c r="AZ445" s="31"/>
      <c r="BA445" s="31"/>
      <c r="BB445" s="31"/>
      <c r="BC445" s="31"/>
      <c r="BD445" s="31"/>
      <c r="BE445" s="31"/>
      <c r="BF445" s="31"/>
      <c r="BG445" s="31"/>
    </row>
    <row r="446" spans="1:59" ht="12.75">
      <c r="A446" s="450"/>
      <c r="B446" s="450"/>
      <c r="C446" s="450"/>
      <c r="D446" s="530"/>
      <c r="E446" s="556"/>
      <c r="F446" s="138"/>
      <c r="G446" s="373"/>
      <c r="H446" s="109"/>
      <c r="I446" s="63"/>
      <c r="J446" s="63"/>
      <c r="K446" s="293"/>
      <c r="L446" s="139"/>
      <c r="M446" s="184"/>
      <c r="N446" s="184"/>
      <c r="O446" s="375"/>
      <c r="P446" s="375"/>
      <c r="Q446" s="184"/>
      <c r="R446" s="184"/>
      <c r="S446" s="184"/>
      <c r="T446" s="149"/>
      <c r="U446" s="150"/>
      <c r="V446" s="151"/>
      <c r="W446" s="152"/>
      <c r="X446" s="152"/>
      <c r="Y446" s="141"/>
      <c r="Z446" s="141"/>
      <c r="AA446" s="141"/>
      <c r="AB446" s="196"/>
      <c r="AC446" s="20"/>
      <c r="AD446" s="172"/>
      <c r="AE446" s="172"/>
      <c r="AF446" s="511"/>
      <c r="AG446" s="511"/>
      <c r="AH446" s="31"/>
      <c r="AI446" s="31"/>
      <c r="AJ446" s="31"/>
      <c r="AK446" s="31"/>
      <c r="AL446" s="31"/>
      <c r="AM446" s="31"/>
      <c r="AN446" s="31"/>
      <c r="AO446" s="31"/>
      <c r="AP446" s="31"/>
      <c r="AQ446" s="31"/>
      <c r="AR446" s="31"/>
      <c r="AS446" s="31"/>
      <c r="AT446" s="31"/>
      <c r="AU446" s="31"/>
      <c r="AV446" s="31"/>
      <c r="AW446" s="31"/>
      <c r="AX446" s="31"/>
      <c r="AY446" s="31"/>
      <c r="AZ446" s="31"/>
      <c r="BA446" s="31"/>
      <c r="BB446" s="31"/>
      <c r="BC446" s="31"/>
      <c r="BD446" s="31"/>
      <c r="BE446" s="31"/>
      <c r="BF446" s="31"/>
      <c r="BG446" s="31"/>
    </row>
    <row r="447" spans="1:59" ht="12.75">
      <c r="A447" s="557"/>
      <c r="B447" s="558"/>
      <c r="C447" s="547"/>
      <c r="D447" s="530"/>
      <c r="E447" s="556"/>
      <c r="F447" s="138"/>
      <c r="G447" s="373"/>
      <c r="H447" s="109"/>
      <c r="I447" s="63"/>
      <c r="J447" s="63"/>
      <c r="K447" s="293"/>
      <c r="L447" s="139"/>
      <c r="M447" s="184"/>
      <c r="N447" s="184"/>
      <c r="O447" s="375"/>
      <c r="P447" s="375"/>
      <c r="Q447" s="184"/>
      <c r="R447" s="184"/>
      <c r="S447" s="184"/>
      <c r="T447" s="311"/>
      <c r="U447" s="312"/>
      <c r="AB447" s="196"/>
      <c r="AC447" s="20"/>
      <c r="AD447" s="172"/>
      <c r="AE447" s="172"/>
      <c r="AF447" s="511"/>
      <c r="AG447" s="511"/>
      <c r="AH447" s="31"/>
      <c r="AI447" s="31"/>
      <c r="AJ447" s="31"/>
      <c r="AK447" s="31"/>
      <c r="AL447" s="31"/>
      <c r="AM447" s="31"/>
      <c r="AN447" s="31"/>
      <c r="AO447" s="31"/>
      <c r="AP447" s="31"/>
      <c r="AQ447" s="31"/>
      <c r="AR447" s="31"/>
      <c r="AS447" s="31"/>
      <c r="AT447" s="31"/>
      <c r="AU447" s="31"/>
      <c r="AV447" s="31"/>
      <c r="AW447" s="31"/>
      <c r="AX447" s="31"/>
      <c r="AY447" s="31"/>
      <c r="AZ447" s="31"/>
      <c r="BA447" s="31"/>
      <c r="BB447" s="31"/>
      <c r="BC447" s="31"/>
      <c r="BD447" s="31"/>
      <c r="BE447" s="31"/>
      <c r="BF447" s="31"/>
      <c r="BG447" s="31"/>
    </row>
    <row r="448" spans="1:59" ht="12.75">
      <c r="A448" s="533"/>
      <c r="B448" s="559"/>
      <c r="C448" s="547"/>
      <c r="D448" s="450"/>
      <c r="E448" s="550"/>
      <c r="F448" s="450"/>
      <c r="G448" s="551"/>
      <c r="H448" s="551"/>
      <c r="I448" s="450"/>
      <c r="J448" s="450"/>
      <c r="K448" s="552"/>
      <c r="L448" s="552"/>
      <c r="M448" s="7"/>
      <c r="O448" s="7"/>
      <c r="P448" s="7"/>
      <c r="Q448" s="7"/>
      <c r="R448" s="7"/>
      <c r="S448" s="184"/>
      <c r="W448" s="152"/>
      <c r="X448" s="152"/>
      <c r="Y448" s="141"/>
      <c r="Z448" s="141"/>
      <c r="AA448" s="141"/>
      <c r="AB448" s="196"/>
      <c r="AC448" s="20"/>
      <c r="AD448" s="172"/>
      <c r="AE448" s="172"/>
      <c r="AF448" s="511"/>
      <c r="AG448" s="511"/>
      <c r="AH448" s="31"/>
      <c r="AI448" s="31"/>
      <c r="AJ448" s="31"/>
      <c r="AK448" s="31"/>
      <c r="AL448" s="31"/>
      <c r="AM448" s="31"/>
      <c r="AN448" s="31"/>
      <c r="AO448" s="31"/>
      <c r="AP448" s="31"/>
      <c r="AQ448" s="31"/>
      <c r="AR448" s="31"/>
      <c r="AS448" s="31"/>
      <c r="AT448" s="31"/>
      <c r="AU448" s="31"/>
      <c r="AV448" s="31"/>
      <c r="AW448" s="31"/>
      <c r="AX448" s="31"/>
      <c r="AY448" s="31"/>
      <c r="AZ448" s="31"/>
      <c r="BA448" s="31"/>
      <c r="BB448" s="31"/>
      <c r="BC448" s="31"/>
      <c r="BD448" s="31"/>
      <c r="BE448" s="31"/>
      <c r="BF448" s="31"/>
      <c r="BG448" s="31"/>
    </row>
    <row r="449" spans="1:59" ht="12.75">
      <c r="A449" s="530"/>
      <c r="B449" s="559"/>
      <c r="C449" s="553"/>
      <c r="D449" s="533"/>
      <c r="E449" s="556"/>
      <c r="F449" s="397"/>
      <c r="G449" s="555"/>
      <c r="H449" s="555"/>
      <c r="I449" s="560"/>
      <c r="J449" s="546"/>
      <c r="K449" s="293"/>
      <c r="L449" s="294"/>
      <c r="M449" s="561"/>
      <c r="N449" s="561"/>
      <c r="O449" s="560"/>
      <c r="P449" s="560"/>
      <c r="Q449" s="546"/>
      <c r="R449" s="561"/>
      <c r="S449" s="7"/>
      <c r="T449" s="562"/>
      <c r="U449" s="563"/>
      <c r="V449" s="151"/>
      <c r="W449" s="152"/>
      <c r="X449" s="152"/>
      <c r="Y449" s="141"/>
      <c r="Z449" s="141"/>
      <c r="AA449" s="141"/>
      <c r="AB449" s="196"/>
      <c r="AC449" s="20"/>
      <c r="AD449" s="172"/>
      <c r="AE449" s="172"/>
      <c r="AF449" s="511"/>
      <c r="AG449" s="511"/>
      <c r="AH449" s="31"/>
      <c r="AI449" s="31"/>
      <c r="AJ449" s="31"/>
      <c r="AK449" s="31"/>
      <c r="AL449" s="31"/>
      <c r="AM449" s="31"/>
      <c r="AN449" s="31"/>
      <c r="AO449" s="31"/>
      <c r="AP449" s="31"/>
      <c r="AQ449" s="31"/>
      <c r="AR449" s="31"/>
      <c r="AS449" s="31"/>
      <c r="AT449" s="31"/>
      <c r="AU449" s="31"/>
      <c r="AV449" s="31"/>
      <c r="AW449" s="31"/>
      <c r="AX449" s="31"/>
      <c r="AY449" s="31"/>
      <c r="AZ449" s="31"/>
      <c r="BA449" s="31"/>
      <c r="BB449" s="31"/>
      <c r="BC449" s="31"/>
      <c r="BD449" s="31"/>
      <c r="BE449" s="31"/>
      <c r="BF449" s="31"/>
      <c r="BG449" s="31"/>
    </row>
    <row r="450" spans="1:59" ht="12.75">
      <c r="A450" s="533"/>
      <c r="B450" s="559"/>
      <c r="C450" s="553"/>
      <c r="D450" s="533"/>
      <c r="E450" s="556"/>
      <c r="F450" s="397"/>
      <c r="G450" s="555"/>
      <c r="H450" s="555"/>
      <c r="I450" s="560"/>
      <c r="J450" s="546"/>
      <c r="K450" s="293"/>
      <c r="L450" s="294"/>
      <c r="M450" s="561"/>
      <c r="N450" s="561"/>
      <c r="O450" s="560"/>
      <c r="P450" s="560"/>
      <c r="Q450" s="546"/>
      <c r="R450" s="561"/>
      <c r="S450" s="184"/>
      <c r="T450" s="564"/>
      <c r="U450" s="565"/>
      <c r="V450" s="299"/>
      <c r="W450" s="566"/>
      <c r="X450" s="566"/>
      <c r="Y450" s="288"/>
      <c r="Z450" s="288"/>
      <c r="AB450" s="196"/>
      <c r="AC450" s="20"/>
      <c r="AD450" s="172"/>
      <c r="AE450" s="172"/>
      <c r="AF450" s="511"/>
      <c r="AG450" s="511"/>
      <c r="AH450" s="31"/>
      <c r="AI450" s="31"/>
      <c r="AJ450" s="31"/>
      <c r="AK450" s="31"/>
      <c r="AL450" s="31"/>
      <c r="AM450" s="31"/>
      <c r="AN450" s="31"/>
      <c r="AO450" s="31"/>
      <c r="AP450" s="31"/>
      <c r="AQ450" s="31"/>
      <c r="AR450" s="31"/>
      <c r="AS450" s="31"/>
      <c r="AT450" s="31"/>
      <c r="AU450" s="31"/>
      <c r="AV450" s="31"/>
      <c r="AW450" s="31"/>
      <c r="AX450" s="31"/>
      <c r="AY450" s="31"/>
      <c r="AZ450" s="31"/>
      <c r="BA450" s="31"/>
      <c r="BB450" s="31"/>
      <c r="BC450" s="31"/>
      <c r="BD450" s="31"/>
      <c r="BE450" s="31"/>
      <c r="BF450" s="31"/>
      <c r="BG450" s="31"/>
    </row>
    <row r="451" spans="1:59" ht="12.75">
      <c r="A451" s="533"/>
      <c r="B451" s="559"/>
      <c r="C451" s="553"/>
      <c r="D451" s="533"/>
      <c r="E451" s="556"/>
      <c r="F451" s="397"/>
      <c r="G451" s="555"/>
      <c r="H451" s="555"/>
      <c r="I451" s="560"/>
      <c r="J451" s="546"/>
      <c r="K451" s="293"/>
      <c r="L451" s="294"/>
      <c r="M451" s="561"/>
      <c r="N451" s="561"/>
      <c r="O451" s="560"/>
      <c r="P451" s="560"/>
      <c r="Q451" s="546"/>
      <c r="R451" s="561"/>
      <c r="S451" s="184"/>
      <c r="T451" s="564"/>
      <c r="U451" s="565"/>
      <c r="V451" s="299"/>
      <c r="W451" s="566"/>
      <c r="X451" s="566"/>
      <c r="Y451" s="288"/>
      <c r="Z451" s="288"/>
      <c r="AA451" s="141"/>
      <c r="AB451" s="196"/>
      <c r="AC451" s="196"/>
      <c r="AD451" s="172"/>
      <c r="AE451" s="172"/>
      <c r="AF451" s="511"/>
      <c r="AG451" s="511"/>
      <c r="AH451" s="31"/>
      <c r="AI451" s="31"/>
      <c r="AJ451" s="31"/>
      <c r="AK451" s="31"/>
      <c r="AL451" s="31"/>
      <c r="AM451" s="31"/>
      <c r="AN451" s="31"/>
      <c r="AO451" s="31"/>
      <c r="AP451" s="31"/>
      <c r="AQ451" s="31"/>
      <c r="AR451" s="31"/>
      <c r="AS451" s="31"/>
      <c r="AT451" s="31"/>
      <c r="AU451" s="31"/>
      <c r="AV451" s="31"/>
      <c r="AW451" s="31"/>
      <c r="AX451" s="31"/>
      <c r="AY451" s="31"/>
      <c r="AZ451" s="31"/>
      <c r="BA451" s="31"/>
      <c r="BB451" s="31"/>
      <c r="BC451" s="31"/>
      <c r="BD451" s="31"/>
      <c r="BE451" s="31"/>
      <c r="BF451" s="31"/>
      <c r="BG451" s="31"/>
    </row>
    <row r="452" spans="1:59" ht="12.75">
      <c r="A452" s="533"/>
      <c r="B452" s="559"/>
      <c r="C452" s="553"/>
      <c r="D452" s="533"/>
      <c r="E452" s="556"/>
      <c r="F452" s="397"/>
      <c r="G452" s="555"/>
      <c r="H452" s="555"/>
      <c r="I452" s="560"/>
      <c r="J452" s="546"/>
      <c r="K452" s="293"/>
      <c r="L452" s="294"/>
      <c r="M452" s="561"/>
      <c r="N452" s="561"/>
      <c r="O452" s="560"/>
      <c r="P452" s="560"/>
      <c r="Q452" s="546"/>
      <c r="R452" s="561"/>
      <c r="S452" s="31"/>
      <c r="T452" s="564"/>
      <c r="U452" s="565"/>
      <c r="V452" s="299"/>
      <c r="W452" s="566"/>
      <c r="X452" s="566"/>
      <c r="Y452" s="288"/>
      <c r="Z452" s="288"/>
      <c r="AA452" s="141"/>
      <c r="AB452" s="19"/>
      <c r="AC452" s="196"/>
      <c r="AD452" s="172"/>
      <c r="AE452" s="172"/>
      <c r="AF452" s="511"/>
      <c r="AG452" s="511"/>
      <c r="AH452" s="31"/>
      <c r="AI452" s="31"/>
      <c r="AJ452" s="31"/>
      <c r="AK452" s="31"/>
      <c r="AL452" s="31"/>
      <c r="AM452" s="31"/>
      <c r="AN452" s="31"/>
      <c r="AO452" s="31"/>
      <c r="AP452" s="31"/>
      <c r="AQ452" s="31"/>
      <c r="AR452" s="31"/>
      <c r="AS452" s="31"/>
      <c r="AT452" s="31"/>
      <c r="AU452" s="31"/>
      <c r="AV452" s="31"/>
      <c r="AW452" s="31"/>
      <c r="AX452" s="31"/>
      <c r="AY452" s="31"/>
      <c r="AZ452" s="31"/>
      <c r="BA452" s="31"/>
      <c r="BB452" s="31"/>
      <c r="BC452" s="31"/>
      <c r="BD452" s="31"/>
      <c r="BE452" s="31"/>
      <c r="BF452" s="31"/>
      <c r="BG452" s="31"/>
    </row>
    <row r="453" spans="1:59" ht="12.75">
      <c r="A453" s="533"/>
      <c r="B453" s="559"/>
      <c r="C453" s="553"/>
      <c r="D453" s="533"/>
      <c r="E453" s="556"/>
      <c r="F453" s="397"/>
      <c r="G453" s="555"/>
      <c r="H453" s="555"/>
      <c r="I453" s="560"/>
      <c r="J453" s="546"/>
      <c r="K453" s="293"/>
      <c r="L453" s="294"/>
      <c r="M453" s="561"/>
      <c r="N453" s="561"/>
      <c r="O453" s="560"/>
      <c r="P453" s="560"/>
      <c r="Q453" s="546"/>
      <c r="R453" s="561"/>
      <c r="S453" s="184"/>
      <c r="T453" s="564"/>
      <c r="U453" s="565"/>
      <c r="V453" s="299"/>
      <c r="W453" s="566"/>
      <c r="X453" s="566"/>
      <c r="Y453" s="288"/>
      <c r="Z453" s="288"/>
      <c r="AA453" s="288"/>
      <c r="AB453" s="390"/>
      <c r="AC453" s="196"/>
      <c r="AD453" s="112"/>
      <c r="AE453" s="31"/>
      <c r="AF453" s="31"/>
      <c r="AG453" s="31"/>
      <c r="AH453" s="31"/>
      <c r="AI453" s="31"/>
      <c r="AJ453" s="31"/>
      <c r="AK453" s="31"/>
      <c r="AL453" s="31"/>
      <c r="AM453" s="31"/>
      <c r="AN453" s="31"/>
      <c r="AO453" s="31"/>
      <c r="AP453" s="31"/>
      <c r="AQ453" s="31"/>
      <c r="AR453" s="31"/>
      <c r="AS453" s="31"/>
      <c r="AT453" s="31"/>
      <c r="AU453" s="31"/>
      <c r="AV453" s="31"/>
      <c r="AW453" s="31"/>
      <c r="AX453" s="31"/>
      <c r="AY453" s="31"/>
      <c r="AZ453" s="31"/>
      <c r="BA453" s="31"/>
      <c r="BB453" s="31"/>
      <c r="BC453" s="31"/>
      <c r="BD453" s="31"/>
      <c r="BE453" s="31"/>
      <c r="BF453" s="31"/>
      <c r="BG453" s="31"/>
    </row>
    <row r="454" spans="1:60" ht="12.75">
      <c r="A454" s="533"/>
      <c r="B454" s="559"/>
      <c r="C454" s="553"/>
      <c r="D454" s="533"/>
      <c r="E454" s="556"/>
      <c r="F454" s="397"/>
      <c r="G454" s="555"/>
      <c r="H454" s="555"/>
      <c r="I454" s="560"/>
      <c r="J454" s="546"/>
      <c r="K454" s="293"/>
      <c r="L454" s="294"/>
      <c r="M454" s="561"/>
      <c r="N454" s="561"/>
      <c r="O454" s="560"/>
      <c r="P454" s="560"/>
      <c r="Q454" s="546"/>
      <c r="R454" s="561"/>
      <c r="S454" s="561"/>
      <c r="T454" s="564"/>
      <c r="U454" s="565"/>
      <c r="V454" s="299"/>
      <c r="W454" s="566"/>
      <c r="X454" s="566"/>
      <c r="Y454" s="288"/>
      <c r="Z454" s="288"/>
      <c r="AA454" s="288"/>
      <c r="AB454" s="390"/>
      <c r="AC454" s="196"/>
      <c r="AD454" s="20"/>
      <c r="AE454" s="112"/>
      <c r="AF454" s="31"/>
      <c r="AG454" s="31"/>
      <c r="AH454" s="31"/>
      <c r="AI454" s="31"/>
      <c r="AJ454" s="31"/>
      <c r="AK454" s="31"/>
      <c r="AL454" s="31"/>
      <c r="AM454" s="31"/>
      <c r="AN454" s="31"/>
      <c r="AO454" s="31"/>
      <c r="AP454" s="31"/>
      <c r="AQ454" s="31"/>
      <c r="AR454" s="31"/>
      <c r="AS454" s="31"/>
      <c r="AT454" s="31"/>
      <c r="AU454" s="31"/>
      <c r="AV454" s="31"/>
      <c r="AW454" s="31"/>
      <c r="AX454" s="31"/>
      <c r="AY454" s="31"/>
      <c r="AZ454" s="31"/>
      <c r="BA454" s="31"/>
      <c r="BB454" s="31"/>
      <c r="BC454" s="31"/>
      <c r="BD454" s="31"/>
      <c r="BE454" s="31"/>
      <c r="BF454" s="31"/>
      <c r="BG454" s="31"/>
      <c r="BH454" s="31"/>
    </row>
    <row r="455" spans="1:60" ht="12.75">
      <c r="A455" s="533"/>
      <c r="B455" s="559"/>
      <c r="C455" s="553"/>
      <c r="D455" s="533"/>
      <c r="E455" s="556"/>
      <c r="F455" s="397"/>
      <c r="G455" s="555"/>
      <c r="H455" s="555"/>
      <c r="I455" s="560"/>
      <c r="J455" s="546"/>
      <c r="K455" s="293"/>
      <c r="L455" s="294"/>
      <c r="M455" s="561"/>
      <c r="N455" s="561"/>
      <c r="O455" s="560"/>
      <c r="P455" s="560"/>
      <c r="Q455" s="546"/>
      <c r="R455" s="561"/>
      <c r="S455" s="561"/>
      <c r="T455" s="564"/>
      <c r="U455" s="565"/>
      <c r="V455" s="299"/>
      <c r="W455" s="566"/>
      <c r="X455" s="566"/>
      <c r="Y455" s="288"/>
      <c r="Z455" s="288"/>
      <c r="AA455" s="288"/>
      <c r="AB455" s="390"/>
      <c r="AC455" s="196"/>
      <c r="AD455" s="20"/>
      <c r="AE455" s="112"/>
      <c r="AF455" s="31"/>
      <c r="AG455" s="31"/>
      <c r="AH455" s="31"/>
      <c r="AI455" s="31"/>
      <c r="AJ455" s="31"/>
      <c r="AK455" s="31"/>
      <c r="AL455" s="31"/>
      <c r="AM455" s="31"/>
      <c r="AN455" s="31"/>
      <c r="AO455" s="31"/>
      <c r="AP455" s="31"/>
      <c r="AQ455" s="31"/>
      <c r="AR455" s="31"/>
      <c r="AS455" s="31"/>
      <c r="AT455" s="31"/>
      <c r="AU455" s="31"/>
      <c r="AV455" s="31"/>
      <c r="AW455" s="31"/>
      <c r="AX455" s="31"/>
      <c r="AY455" s="31"/>
      <c r="AZ455" s="31"/>
      <c r="BA455" s="31"/>
      <c r="BB455" s="31"/>
      <c r="BC455" s="31"/>
      <c r="BD455" s="31"/>
      <c r="BE455" s="31"/>
      <c r="BF455" s="31"/>
      <c r="BG455" s="31"/>
      <c r="BH455" s="31"/>
    </row>
    <row r="456" spans="1:60" ht="12.75">
      <c r="A456" s="533"/>
      <c r="B456" s="559"/>
      <c r="C456" s="553"/>
      <c r="D456" s="533"/>
      <c r="E456" s="556"/>
      <c r="F456" s="397"/>
      <c r="G456" s="555"/>
      <c r="H456" s="555"/>
      <c r="I456" s="560"/>
      <c r="J456" s="546"/>
      <c r="K456" s="293"/>
      <c r="L456" s="294"/>
      <c r="M456" s="561"/>
      <c r="N456" s="561"/>
      <c r="O456" s="560"/>
      <c r="P456" s="560"/>
      <c r="Q456" s="546"/>
      <c r="R456" s="561"/>
      <c r="S456" s="561"/>
      <c r="T456" s="564"/>
      <c r="U456" s="565"/>
      <c r="V456" s="299"/>
      <c r="W456" s="566"/>
      <c r="X456" s="566"/>
      <c r="Y456" s="288"/>
      <c r="Z456" s="288"/>
      <c r="AA456" s="288"/>
      <c r="AB456" s="390"/>
      <c r="AC456" s="196"/>
      <c r="AD456" s="20"/>
      <c r="AE456" s="112"/>
      <c r="AF456" s="31"/>
      <c r="AG456" s="31"/>
      <c r="AH456" s="31"/>
      <c r="AI456" s="31"/>
      <c r="AJ456" s="31"/>
      <c r="AK456" s="31"/>
      <c r="AL456" s="31"/>
      <c r="AM456" s="31"/>
      <c r="AN456" s="31"/>
      <c r="AO456" s="31"/>
      <c r="AP456" s="31"/>
      <c r="AQ456" s="31"/>
      <c r="AR456" s="31"/>
      <c r="AS456" s="31"/>
      <c r="AT456" s="31"/>
      <c r="AU456" s="31"/>
      <c r="AV456" s="31"/>
      <c r="AW456" s="31"/>
      <c r="AX456" s="31"/>
      <c r="AY456" s="31"/>
      <c r="AZ456" s="31"/>
      <c r="BA456" s="31"/>
      <c r="BB456" s="31"/>
      <c r="BC456" s="31"/>
      <c r="BD456" s="31"/>
      <c r="BE456" s="31"/>
      <c r="BF456" s="31"/>
      <c r="BG456" s="31"/>
      <c r="BH456" s="31"/>
    </row>
    <row r="457" spans="1:60" ht="12.75">
      <c r="A457" s="533"/>
      <c r="B457" s="559"/>
      <c r="C457" s="553"/>
      <c r="D457" s="533"/>
      <c r="E457" s="556"/>
      <c r="F457" s="397"/>
      <c r="G457" s="555"/>
      <c r="H457" s="555"/>
      <c r="I457" s="560"/>
      <c r="J457" s="546"/>
      <c r="K457" s="293"/>
      <c r="L457" s="294"/>
      <c r="M457" s="561"/>
      <c r="N457" s="561"/>
      <c r="O457" s="560"/>
      <c r="P457" s="560"/>
      <c r="Q457" s="546"/>
      <c r="R457" s="561"/>
      <c r="S457" s="561"/>
      <c r="T457" s="564"/>
      <c r="U457" s="565"/>
      <c r="V457" s="299"/>
      <c r="W457" s="566"/>
      <c r="X457" s="566"/>
      <c r="Y457" s="288"/>
      <c r="Z457" s="288"/>
      <c r="AA457" s="288"/>
      <c r="AB457" s="390"/>
      <c r="AC457" s="196"/>
      <c r="AD457" s="20"/>
      <c r="AE457" s="567"/>
      <c r="AF457" s="568"/>
      <c r="AG457" s="568"/>
      <c r="AH457" s="568"/>
      <c r="AI457" s="31"/>
      <c r="AJ457" s="31"/>
      <c r="AK457" s="31"/>
      <c r="AL457" s="31"/>
      <c r="AM457" s="31"/>
      <c r="AN457" s="31"/>
      <c r="AO457" s="31"/>
      <c r="AP457" s="31"/>
      <c r="AQ457" s="31"/>
      <c r="AR457" s="31"/>
      <c r="AS457" s="31"/>
      <c r="AT457" s="31"/>
      <c r="AU457" s="31"/>
      <c r="AV457" s="31"/>
      <c r="AW457" s="31"/>
      <c r="AX457" s="31"/>
      <c r="AY457" s="31"/>
      <c r="AZ457" s="31"/>
      <c r="BA457" s="31"/>
      <c r="BB457" s="31"/>
      <c r="BC457" s="31"/>
      <c r="BD457" s="31"/>
      <c r="BE457" s="31"/>
      <c r="BF457" s="31"/>
      <c r="BG457" s="31"/>
      <c r="BH457" s="31"/>
    </row>
    <row r="458" spans="1:60" ht="12.75">
      <c r="A458" s="533"/>
      <c r="B458" s="559"/>
      <c r="C458" s="553"/>
      <c r="D458" s="533"/>
      <c r="E458" s="556"/>
      <c r="F458" s="397"/>
      <c r="G458" s="555"/>
      <c r="H458" s="555"/>
      <c r="I458" s="560"/>
      <c r="J458" s="546"/>
      <c r="K458" s="293"/>
      <c r="L458" s="294"/>
      <c r="M458" s="561"/>
      <c r="N458" s="561"/>
      <c r="O458" s="560"/>
      <c r="P458" s="560"/>
      <c r="Q458" s="546"/>
      <c r="R458" s="561"/>
      <c r="S458" s="561"/>
      <c r="T458" s="564"/>
      <c r="U458" s="565"/>
      <c r="V458" s="299"/>
      <c r="W458" s="566"/>
      <c r="X458" s="566"/>
      <c r="Y458" s="288"/>
      <c r="Z458" s="288"/>
      <c r="AA458" s="288"/>
      <c r="AB458" s="390"/>
      <c r="AC458" s="196"/>
      <c r="AD458" s="20"/>
      <c r="AE458" s="569"/>
      <c r="AF458" s="570"/>
      <c r="AG458" s="570"/>
      <c r="AH458" s="570"/>
      <c r="AI458" s="31"/>
      <c r="AJ458" s="31"/>
      <c r="AK458" s="31"/>
      <c r="AL458" s="31"/>
      <c r="AM458" s="31"/>
      <c r="AN458" s="31"/>
      <c r="AO458" s="31"/>
      <c r="AP458" s="31"/>
      <c r="AQ458" s="31"/>
      <c r="AR458" s="31"/>
      <c r="AS458" s="31"/>
      <c r="AT458" s="31"/>
      <c r="AU458" s="31"/>
      <c r="AV458" s="31"/>
      <c r="AW458" s="31"/>
      <c r="AX458" s="31"/>
      <c r="AY458" s="31"/>
      <c r="AZ458" s="31"/>
      <c r="BA458" s="31"/>
      <c r="BB458" s="31"/>
      <c r="BC458" s="31"/>
      <c r="BD458" s="31"/>
      <c r="BE458" s="31"/>
      <c r="BF458" s="31"/>
      <c r="BG458" s="31"/>
      <c r="BH458" s="31"/>
    </row>
    <row r="459" spans="1:60" ht="12.75">
      <c r="A459" s="533"/>
      <c r="B459" s="559"/>
      <c r="C459" s="553"/>
      <c r="D459" s="533"/>
      <c r="E459" s="556"/>
      <c r="F459" s="397"/>
      <c r="G459" s="555"/>
      <c r="H459" s="555"/>
      <c r="I459" s="560"/>
      <c r="J459" s="546"/>
      <c r="K459" s="293"/>
      <c r="L459" s="294"/>
      <c r="M459" s="561"/>
      <c r="N459" s="561"/>
      <c r="O459" s="560"/>
      <c r="P459" s="560"/>
      <c r="Q459" s="546"/>
      <c r="R459" s="561"/>
      <c r="S459" s="561"/>
      <c r="T459" s="564"/>
      <c r="U459" s="565"/>
      <c r="V459" s="299"/>
      <c r="W459" s="566"/>
      <c r="X459" s="566"/>
      <c r="Y459" s="288"/>
      <c r="Z459" s="288"/>
      <c r="AA459" s="288"/>
      <c r="AB459" s="390"/>
      <c r="AC459" s="196"/>
      <c r="AD459" s="571" t="s">
        <v>539</v>
      </c>
      <c r="AE459" s="572" t="s">
        <v>540</v>
      </c>
      <c r="AF459" s="572" t="s">
        <v>541</v>
      </c>
      <c r="AG459" s="739" t="s">
        <v>542</v>
      </c>
      <c r="AH459" s="739"/>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row>
    <row r="460" spans="1:60" ht="12.75">
      <c r="A460" s="533"/>
      <c r="B460" s="559"/>
      <c r="C460" s="553"/>
      <c r="D460" s="533"/>
      <c r="E460" s="556"/>
      <c r="F460" s="397"/>
      <c r="G460" s="555"/>
      <c r="H460" s="555"/>
      <c r="I460" s="560"/>
      <c r="J460" s="546"/>
      <c r="K460" s="293"/>
      <c r="L460" s="294"/>
      <c r="M460" s="561"/>
      <c r="N460" s="561"/>
      <c r="O460" s="560"/>
      <c r="P460" s="560"/>
      <c r="Q460" s="546"/>
      <c r="R460" s="561"/>
      <c r="S460" s="561"/>
      <c r="T460" s="564"/>
      <c r="U460" s="565"/>
      <c r="V460" s="299"/>
      <c r="W460" s="566"/>
      <c r="X460" s="566"/>
      <c r="Y460" s="288"/>
      <c r="Z460" s="288"/>
      <c r="AA460" s="288"/>
      <c r="AB460" s="390"/>
      <c r="AC460" s="196"/>
      <c r="AD460" s="573" t="s">
        <v>543</v>
      </c>
      <c r="AE460" s="574" t="s">
        <v>544</v>
      </c>
      <c r="AF460" s="574" t="s">
        <v>545</v>
      </c>
      <c r="AG460" s="575" t="s">
        <v>546</v>
      </c>
      <c r="AH460" s="576" t="s">
        <v>547</v>
      </c>
      <c r="AI460" s="31"/>
      <c r="AJ460" s="31"/>
      <c r="AK460" s="31"/>
      <c r="AL460" s="31"/>
      <c r="AM460" s="31"/>
      <c r="AN460" s="31"/>
      <c r="AO460" s="31"/>
      <c r="AP460" s="31"/>
      <c r="AQ460" s="31"/>
      <c r="AR460" s="31"/>
      <c r="AS460" s="31"/>
      <c r="AT460" s="31"/>
      <c r="AU460" s="31"/>
      <c r="AV460" s="31"/>
      <c r="AW460" s="31"/>
      <c r="AX460" s="31"/>
      <c r="AY460" s="31"/>
      <c r="AZ460" s="31"/>
      <c r="BA460" s="31"/>
      <c r="BB460" s="31"/>
      <c r="BC460" s="31"/>
      <c r="BD460" s="31"/>
      <c r="BE460" s="31"/>
      <c r="BF460" s="31"/>
      <c r="BG460" s="31"/>
      <c r="BH460" s="31"/>
    </row>
    <row r="461" spans="1:60" ht="21" customHeight="1">
      <c r="A461" s="533"/>
      <c r="B461" s="559"/>
      <c r="C461" s="553"/>
      <c r="D461" s="533"/>
      <c r="E461" s="556"/>
      <c r="F461" s="397"/>
      <c r="G461" s="555"/>
      <c r="H461" s="555"/>
      <c r="I461" s="560"/>
      <c r="J461" s="546"/>
      <c r="K461" s="293"/>
      <c r="L461" s="294"/>
      <c r="M461" s="561"/>
      <c r="N461" s="561"/>
      <c r="O461" s="560"/>
      <c r="P461" s="560"/>
      <c r="Q461" s="546"/>
      <c r="R461" s="561"/>
      <c r="S461" s="561"/>
      <c r="T461" s="564"/>
      <c r="U461" s="565"/>
      <c r="V461" s="299"/>
      <c r="W461" s="566"/>
      <c r="X461" s="566"/>
      <c r="Y461" s="288"/>
      <c r="Z461" s="288"/>
      <c r="AA461" s="288"/>
      <c r="AB461" s="390"/>
      <c r="AC461" s="196"/>
      <c r="AD461" s="577" t="s">
        <v>548</v>
      </c>
      <c r="AE461" s="578" t="s">
        <v>549</v>
      </c>
      <c r="AF461" s="575" t="s">
        <v>550</v>
      </c>
      <c r="AG461" s="579">
        <f>VFEA*19.6%</f>
        <v>7.742</v>
      </c>
      <c r="AH461" s="580">
        <f>VFEA*13%</f>
        <v>5.135</v>
      </c>
      <c r="AI461" s="31"/>
      <c r="AJ461" s="31"/>
      <c r="AK461" s="31"/>
      <c r="AL461" s="31"/>
      <c r="AM461" s="31"/>
      <c r="AN461" s="31"/>
      <c r="AO461" s="31"/>
      <c r="AP461" s="31"/>
      <c r="AQ461" s="31"/>
      <c r="AR461" s="31"/>
      <c r="AS461" s="31"/>
      <c r="AT461" s="31"/>
      <c r="AU461" s="31"/>
      <c r="AV461" s="31"/>
      <c r="AW461" s="31"/>
      <c r="AX461" s="31"/>
      <c r="AY461" s="31"/>
      <c r="AZ461" s="31"/>
      <c r="BA461" s="31"/>
      <c r="BB461" s="31"/>
      <c r="BC461" s="31"/>
      <c r="BD461" s="31"/>
      <c r="BE461" s="31"/>
      <c r="BF461" s="31"/>
      <c r="BG461" s="31"/>
      <c r="BH461" s="31"/>
    </row>
    <row r="462" spans="1:60" ht="12.75">
      <c r="A462" s="533"/>
      <c r="B462" s="559"/>
      <c r="C462" s="553"/>
      <c r="D462" s="533"/>
      <c r="E462" s="556"/>
      <c r="F462" s="397"/>
      <c r="G462" s="555"/>
      <c r="H462" s="555"/>
      <c r="I462" s="560"/>
      <c r="J462" s="546"/>
      <c r="K462" s="293"/>
      <c r="L462" s="294"/>
      <c r="M462" s="561"/>
      <c r="N462" s="561"/>
      <c r="O462" s="560"/>
      <c r="P462" s="560"/>
      <c r="Q462" s="546"/>
      <c r="R462" s="561"/>
      <c r="S462" s="561"/>
      <c r="T462" s="564"/>
      <c r="U462" s="565"/>
      <c r="V462" s="299"/>
      <c r="W462" s="566"/>
      <c r="X462" s="566"/>
      <c r="Y462" s="288"/>
      <c r="Z462" s="288"/>
      <c r="AA462" s="288"/>
      <c r="AB462" s="390"/>
      <c r="AC462" s="196"/>
      <c r="AD462" s="581" t="s">
        <v>551</v>
      </c>
      <c r="AE462" s="572" t="s">
        <v>552</v>
      </c>
      <c r="AF462" s="572" t="s">
        <v>553</v>
      </c>
      <c r="AG462" s="571">
        <f>VFCB*19.6%</f>
        <v>7.399</v>
      </c>
      <c r="AH462" s="582">
        <f>VFCB*13%</f>
        <v>4.9075</v>
      </c>
      <c r="AI462" s="31"/>
      <c r="AJ462" s="31"/>
      <c r="AK462" s="31"/>
      <c r="AL462" s="31"/>
      <c r="AM462" s="31"/>
      <c r="AN462" s="31"/>
      <c r="AO462" s="31"/>
      <c r="AP462" s="31"/>
      <c r="AQ462" s="31"/>
      <c r="AR462" s="31"/>
      <c r="AS462" s="31"/>
      <c r="AT462" s="31"/>
      <c r="AU462" s="31"/>
      <c r="AV462" s="31"/>
      <c r="AW462" s="31"/>
      <c r="AX462" s="31"/>
      <c r="AY462" s="31"/>
      <c r="AZ462" s="31"/>
      <c r="BA462" s="31"/>
      <c r="BB462" s="31"/>
      <c r="BC462" s="31"/>
      <c r="BD462" s="31"/>
      <c r="BE462" s="31"/>
      <c r="BF462" s="31"/>
      <c r="BG462" s="31"/>
      <c r="BH462" s="31"/>
    </row>
    <row r="463" spans="1:60" ht="12.75">
      <c r="A463" s="533"/>
      <c r="B463" s="559"/>
      <c r="C463" s="553"/>
      <c r="D463" s="533"/>
      <c r="E463" s="556"/>
      <c r="F463" s="397"/>
      <c r="G463" s="555"/>
      <c r="H463" s="555"/>
      <c r="I463" s="560"/>
      <c r="J463" s="546"/>
      <c r="K463" s="293"/>
      <c r="L463" s="294"/>
      <c r="M463" s="561"/>
      <c r="N463" s="561"/>
      <c r="O463" s="560"/>
      <c r="P463" s="560"/>
      <c r="Q463" s="546"/>
      <c r="R463" s="561"/>
      <c r="S463" s="561"/>
      <c r="T463" s="564"/>
      <c r="U463" s="565"/>
      <c r="V463" s="299"/>
      <c r="W463" s="566"/>
      <c r="X463" s="566"/>
      <c r="Y463" s="288"/>
      <c r="Z463" s="288"/>
      <c r="AA463" s="288"/>
      <c r="AB463" s="390"/>
      <c r="AC463" s="196"/>
      <c r="AD463" s="583"/>
      <c r="AE463" s="574" t="s">
        <v>554</v>
      </c>
      <c r="AF463" s="584"/>
      <c r="AG463" s="573"/>
      <c r="AH463" s="585"/>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row>
    <row r="464" spans="1:60" ht="12.75">
      <c r="A464" s="533"/>
      <c r="B464" s="559"/>
      <c r="C464" s="553"/>
      <c r="D464" s="533"/>
      <c r="E464" s="556"/>
      <c r="F464" s="397"/>
      <c r="G464" s="555"/>
      <c r="H464" s="555"/>
      <c r="I464" s="560"/>
      <c r="J464" s="546"/>
      <c r="K464" s="293"/>
      <c r="L464" s="294"/>
      <c r="M464" s="561"/>
      <c r="N464" s="561"/>
      <c r="O464" s="560"/>
      <c r="P464" s="560"/>
      <c r="Q464" s="546"/>
      <c r="R464" s="561"/>
      <c r="S464" s="561"/>
      <c r="T464" s="564"/>
      <c r="U464" s="565"/>
      <c r="V464" s="299"/>
      <c r="W464" s="566"/>
      <c r="X464" s="566"/>
      <c r="Y464" s="288"/>
      <c r="Z464" s="288"/>
      <c r="AA464" s="288"/>
      <c r="AB464" s="390"/>
      <c r="AC464" s="196"/>
      <c r="AD464" s="581" t="s">
        <v>555</v>
      </c>
      <c r="AE464" s="572" t="s">
        <v>556</v>
      </c>
      <c r="AF464" s="586"/>
      <c r="AG464" s="571"/>
      <c r="AH464" s="582"/>
      <c r="AI464" s="306"/>
      <c r="AJ464" s="306"/>
      <c r="AK464" s="31"/>
      <c r="AL464" s="31"/>
      <c r="AM464" s="31"/>
      <c r="AN464" s="31"/>
      <c r="AO464" s="31"/>
      <c r="AP464" s="31"/>
      <c r="AQ464" s="31"/>
      <c r="AR464" s="31"/>
      <c r="AS464" s="31"/>
      <c r="AT464" s="31"/>
      <c r="AU464" s="31"/>
      <c r="AV464" s="31"/>
      <c r="AW464" s="31"/>
      <c r="AX464" s="31"/>
      <c r="AY464" s="31"/>
      <c r="AZ464" s="31"/>
      <c r="BA464" s="31"/>
      <c r="BB464" s="31"/>
      <c r="BC464" s="31"/>
      <c r="BD464" s="31"/>
      <c r="BE464" s="31"/>
      <c r="BF464" s="31"/>
      <c r="BG464" s="31"/>
      <c r="BH464" s="31"/>
    </row>
    <row r="465" spans="1:60" ht="12.75">
      <c r="A465" s="533"/>
      <c r="B465" s="559"/>
      <c r="C465" s="553"/>
      <c r="D465" s="533"/>
      <c r="E465" s="556"/>
      <c r="F465" s="397"/>
      <c r="G465" s="555"/>
      <c r="H465" s="555"/>
      <c r="I465" s="560"/>
      <c r="J465" s="546"/>
      <c r="K465" s="293"/>
      <c r="L465" s="294"/>
      <c r="M465" s="561"/>
      <c r="N465" s="561"/>
      <c r="O465" s="560"/>
      <c r="P465" s="560"/>
      <c r="Q465" s="546"/>
      <c r="R465" s="561"/>
      <c r="S465" s="561"/>
      <c r="T465" s="564"/>
      <c r="U465" s="565"/>
      <c r="V465" s="299"/>
      <c r="W465" s="566"/>
      <c r="X465" s="566"/>
      <c r="Y465" s="288"/>
      <c r="Z465" s="288"/>
      <c r="AA465" s="288"/>
      <c r="AB465" s="390"/>
      <c r="AC465" s="196"/>
      <c r="AD465" s="587" t="s">
        <v>557</v>
      </c>
      <c r="AE465" s="588" t="s">
        <v>558</v>
      </c>
      <c r="AF465" s="588" t="s">
        <v>559</v>
      </c>
      <c r="AG465" s="589">
        <f>vfspb*19.6%</f>
        <v>7.742</v>
      </c>
      <c r="AH465" s="590">
        <f>vfspb*13%</f>
        <v>5.135</v>
      </c>
      <c r="AI465" s="306"/>
      <c r="AJ465" s="306"/>
      <c r="AK465" s="31"/>
      <c r="AL465" s="31"/>
      <c r="AM465" s="31"/>
      <c r="AN465" s="31"/>
      <c r="AO465" s="31"/>
      <c r="AP465" s="31"/>
      <c r="AQ465" s="31"/>
      <c r="AR465" s="31"/>
      <c r="AS465" s="31"/>
      <c r="AT465" s="31"/>
      <c r="AU465" s="31"/>
      <c r="AV465" s="31"/>
      <c r="AW465" s="31"/>
      <c r="AX465" s="31"/>
      <c r="AY465" s="31"/>
      <c r="AZ465" s="31"/>
      <c r="BA465" s="31"/>
      <c r="BB465" s="31"/>
      <c r="BC465" s="31"/>
      <c r="BD465" s="31"/>
      <c r="BE465" s="31"/>
      <c r="BF465" s="31"/>
      <c r="BG465" s="31"/>
      <c r="BH465" s="31"/>
    </row>
    <row r="466" spans="1:60" ht="12.75">
      <c r="A466" s="533"/>
      <c r="B466" s="559"/>
      <c r="C466" s="553"/>
      <c r="D466" s="533"/>
      <c r="E466" s="556"/>
      <c r="F466" s="397"/>
      <c r="G466" s="555"/>
      <c r="H466" s="555"/>
      <c r="I466" s="560"/>
      <c r="J466" s="546"/>
      <c r="K466" s="293"/>
      <c r="L466" s="294"/>
      <c r="M466" s="561"/>
      <c r="N466" s="561"/>
      <c r="O466" s="560"/>
      <c r="P466" s="560"/>
      <c r="Q466" s="546"/>
      <c r="R466" s="561"/>
      <c r="S466" s="561"/>
      <c r="T466" s="564"/>
      <c r="U466" s="565"/>
      <c r="V466" s="299"/>
      <c r="W466" s="566"/>
      <c r="X466" s="566"/>
      <c r="Y466" s="288"/>
      <c r="Z466" s="288"/>
      <c r="AA466" s="288"/>
      <c r="AB466" s="390"/>
      <c r="AC466" s="196"/>
      <c r="AD466" s="583" t="s">
        <v>560</v>
      </c>
      <c r="AE466" s="591"/>
      <c r="AF466" s="584"/>
      <c r="AG466" s="573"/>
      <c r="AH466" s="585"/>
      <c r="AI466" s="306"/>
      <c r="AJ466" s="306"/>
      <c r="AK466" s="31"/>
      <c r="AL466" s="31"/>
      <c r="AM466" s="31"/>
      <c r="AN466" s="31"/>
      <c r="AO466" s="31"/>
      <c r="AP466" s="31"/>
      <c r="AQ466" s="31"/>
      <c r="AR466" s="31"/>
      <c r="AS466" s="31"/>
      <c r="AT466" s="31"/>
      <c r="AU466" s="31"/>
      <c r="AV466" s="31"/>
      <c r="AW466" s="31"/>
      <c r="AX466" s="31"/>
      <c r="AY466" s="31"/>
      <c r="AZ466" s="31"/>
      <c r="BA466" s="31"/>
      <c r="BB466" s="31"/>
      <c r="BC466" s="31"/>
      <c r="BD466" s="31"/>
      <c r="BE466" s="31"/>
      <c r="BF466" s="31"/>
      <c r="BG466" s="31"/>
      <c r="BH466" s="31"/>
    </row>
    <row r="467" spans="1:60" ht="12.75">
      <c r="A467" s="533"/>
      <c r="B467" s="559"/>
      <c r="C467" s="553"/>
      <c r="D467" s="533"/>
      <c r="E467" s="556"/>
      <c r="F467" s="397"/>
      <c r="G467" s="555"/>
      <c r="H467" s="555"/>
      <c r="I467" s="560"/>
      <c r="J467" s="546"/>
      <c r="K467" s="293"/>
      <c r="L467" s="294"/>
      <c r="M467" s="561"/>
      <c r="N467" s="561"/>
      <c r="O467" s="560"/>
      <c r="P467" s="560"/>
      <c r="Q467" s="546"/>
      <c r="R467" s="561"/>
      <c r="S467" s="561"/>
      <c r="T467" s="564"/>
      <c r="U467" s="565"/>
      <c r="V467" s="299"/>
      <c r="W467" s="566"/>
      <c r="X467" s="566"/>
      <c r="Y467" s="288"/>
      <c r="Z467" s="288"/>
      <c r="AA467" s="288"/>
      <c r="AB467" s="390"/>
      <c r="AC467" s="196"/>
      <c r="AD467" s="581" t="s">
        <v>561</v>
      </c>
      <c r="AE467" s="572" t="s">
        <v>562</v>
      </c>
      <c r="AF467" s="586"/>
      <c r="AG467" s="571"/>
      <c r="AH467" s="582"/>
      <c r="AI467" s="306"/>
      <c r="AJ467" s="306"/>
      <c r="AK467" s="31"/>
      <c r="AL467" s="31"/>
      <c r="AM467" s="31"/>
      <c r="AN467" s="31"/>
      <c r="AO467" s="31"/>
      <c r="AP467" s="31"/>
      <c r="AQ467" s="31"/>
      <c r="AR467" s="31"/>
      <c r="AS467" s="31"/>
      <c r="AT467" s="31"/>
      <c r="AU467" s="31"/>
      <c r="AV467" s="31"/>
      <c r="AW467" s="31"/>
      <c r="AX467" s="31"/>
      <c r="AY467" s="31"/>
      <c r="AZ467" s="31"/>
      <c r="BA467" s="31"/>
      <c r="BB467" s="31"/>
      <c r="BC467" s="31"/>
      <c r="BD467" s="31"/>
      <c r="BE467" s="31"/>
      <c r="BF467" s="31"/>
      <c r="BG467" s="31"/>
      <c r="BH467" s="31"/>
    </row>
    <row r="468" spans="1:60" ht="12.75">
      <c r="A468" s="533"/>
      <c r="B468" s="559"/>
      <c r="C468" s="553"/>
      <c r="D468" s="533"/>
      <c r="E468" s="556"/>
      <c r="F468" s="397"/>
      <c r="G468" s="555"/>
      <c r="H468" s="555"/>
      <c r="I468" s="560"/>
      <c r="J468" s="546"/>
      <c r="K468" s="293"/>
      <c r="L468" s="294"/>
      <c r="M468" s="561"/>
      <c r="N468" s="561"/>
      <c r="O468" s="560"/>
      <c r="P468" s="560"/>
      <c r="Q468" s="546"/>
      <c r="R468" s="561"/>
      <c r="S468" s="561"/>
      <c r="T468" s="564"/>
      <c r="U468" s="565"/>
      <c r="V468" s="299"/>
      <c r="W468" s="566"/>
      <c r="X468" s="566"/>
      <c r="Y468" s="288"/>
      <c r="Z468" s="288"/>
      <c r="AA468" s="288"/>
      <c r="AB468" s="390"/>
      <c r="AC468" s="196"/>
      <c r="AD468" s="587" t="s">
        <v>563</v>
      </c>
      <c r="AE468" s="588"/>
      <c r="AF468" s="588" t="s">
        <v>564</v>
      </c>
      <c r="AG468" s="589">
        <f>VFARS*19.6%</f>
        <v>7.742</v>
      </c>
      <c r="AH468" s="590">
        <f>VFARS*13%</f>
        <v>5.135</v>
      </c>
      <c r="AI468" s="306"/>
      <c r="AJ468" s="306"/>
      <c r="AK468" s="31"/>
      <c r="AL468" s="31"/>
      <c r="AM468" s="31"/>
      <c r="AN468" s="31"/>
      <c r="AO468" s="31"/>
      <c r="AP468" s="31"/>
      <c r="AQ468" s="31"/>
      <c r="AR468" s="31"/>
      <c r="AS468" s="31"/>
      <c r="AT468" s="31"/>
      <c r="AU468" s="31"/>
      <c r="AV468" s="31"/>
      <c r="AW468" s="31"/>
      <c r="AX468" s="31"/>
      <c r="AY468" s="31"/>
      <c r="AZ468" s="31"/>
      <c r="BA468" s="31"/>
      <c r="BB468" s="31"/>
      <c r="BC468" s="31"/>
      <c r="BD468" s="31"/>
      <c r="BE468" s="31"/>
      <c r="BF468" s="31"/>
      <c r="BG468" s="31"/>
      <c r="BH468" s="31"/>
    </row>
    <row r="469" spans="1:60" ht="12.75">
      <c r="A469" s="533"/>
      <c r="B469" s="559"/>
      <c r="C469" s="553"/>
      <c r="D469" s="533"/>
      <c r="E469" s="556"/>
      <c r="F469" s="397"/>
      <c r="G469" s="555"/>
      <c r="H469" s="555"/>
      <c r="I469" s="560"/>
      <c r="J469" s="546"/>
      <c r="K469" s="293"/>
      <c r="L469" s="294"/>
      <c r="M469" s="561"/>
      <c r="N469" s="561"/>
      <c r="O469" s="560"/>
      <c r="P469" s="560"/>
      <c r="Q469" s="546"/>
      <c r="R469" s="561"/>
      <c r="S469" s="561"/>
      <c r="T469" s="564"/>
      <c r="U469" s="565"/>
      <c r="V469" s="299"/>
      <c r="W469" s="566"/>
      <c r="X469" s="566"/>
      <c r="Y469" s="288"/>
      <c r="Z469" s="288"/>
      <c r="AA469" s="288"/>
      <c r="AB469" s="390"/>
      <c r="AC469" s="196"/>
      <c r="AD469" s="587" t="s">
        <v>565</v>
      </c>
      <c r="AE469" s="588"/>
      <c r="AF469" s="592"/>
      <c r="AG469" s="589"/>
      <c r="AH469" s="590"/>
      <c r="AI469" s="306"/>
      <c r="AJ469" s="306"/>
      <c r="AK469" s="31"/>
      <c r="AL469" s="31"/>
      <c r="AM469" s="31"/>
      <c r="AN469" s="31"/>
      <c r="AO469" s="31"/>
      <c r="AP469" s="31"/>
      <c r="AQ469" s="31"/>
      <c r="AR469" s="31"/>
      <c r="AS469" s="31"/>
      <c r="AT469" s="31"/>
      <c r="AU469" s="31"/>
      <c r="AV469" s="31"/>
      <c r="AW469" s="31"/>
      <c r="AX469" s="31"/>
      <c r="AY469" s="31"/>
      <c r="AZ469" s="31"/>
      <c r="BA469" s="31"/>
      <c r="BB469" s="31"/>
      <c r="BC469" s="31"/>
      <c r="BD469" s="31"/>
      <c r="BE469" s="31"/>
      <c r="BF469" s="31"/>
      <c r="BG469" s="31"/>
      <c r="BH469" s="31"/>
    </row>
    <row r="470" spans="1:60" ht="12.75">
      <c r="A470" s="533"/>
      <c r="B470" s="559"/>
      <c r="C470" s="553"/>
      <c r="D470" s="533"/>
      <c r="E470" s="556"/>
      <c r="F470" s="397"/>
      <c r="G470" s="555"/>
      <c r="H470" s="555"/>
      <c r="I470" s="560"/>
      <c r="J470" s="546"/>
      <c r="K470" s="293"/>
      <c r="L470" s="294"/>
      <c r="M470" s="561"/>
      <c r="N470" s="561"/>
      <c r="O470" s="560"/>
      <c r="P470" s="560"/>
      <c r="Q470" s="546"/>
      <c r="R470" s="561"/>
      <c r="S470" s="561"/>
      <c r="T470" s="564"/>
      <c r="U470" s="565"/>
      <c r="V470" s="299"/>
      <c r="W470" s="566"/>
      <c r="X470" s="566"/>
      <c r="Y470" s="288"/>
      <c r="Z470" s="288"/>
      <c r="AA470" s="288"/>
      <c r="AB470" s="390"/>
      <c r="AC470" s="196"/>
      <c r="AD470" s="583"/>
      <c r="AE470" s="574"/>
      <c r="AF470" s="584"/>
      <c r="AG470" s="573"/>
      <c r="AH470" s="585"/>
      <c r="AI470" s="306"/>
      <c r="AJ470" s="306"/>
      <c r="AK470" s="31"/>
      <c r="AL470" s="31"/>
      <c r="AM470" s="31"/>
      <c r="AN470" s="31"/>
      <c r="AO470" s="31"/>
      <c r="AP470" s="31"/>
      <c r="AQ470" s="31"/>
      <c r="AR470" s="31"/>
      <c r="AS470" s="31"/>
      <c r="AT470" s="31"/>
      <c r="AU470" s="31"/>
      <c r="AV470" s="31"/>
      <c r="AW470" s="31"/>
      <c r="AX470" s="31"/>
      <c r="AY470" s="31"/>
      <c r="AZ470" s="31"/>
      <c r="BA470" s="31"/>
      <c r="BB470" s="31"/>
      <c r="BC470" s="31"/>
      <c r="BD470" s="31"/>
      <c r="BE470" s="31"/>
      <c r="BF470" s="31"/>
      <c r="BG470" s="31"/>
      <c r="BH470" s="31"/>
    </row>
    <row r="471" spans="1:60" ht="12.75">
      <c r="A471" s="533"/>
      <c r="B471" s="559"/>
      <c r="C471" s="553"/>
      <c r="D471" s="533"/>
      <c r="E471" s="556"/>
      <c r="F471" s="397"/>
      <c r="G471" s="555"/>
      <c r="H471" s="555"/>
      <c r="I471" s="560"/>
      <c r="J471" s="546"/>
      <c r="K471" s="293"/>
      <c r="L471" s="294"/>
      <c r="M471" s="561"/>
      <c r="N471" s="561"/>
      <c r="O471" s="560"/>
      <c r="P471" s="560"/>
      <c r="Q471" s="546"/>
      <c r="R471" s="561"/>
      <c r="S471" s="561"/>
      <c r="T471" s="564"/>
      <c r="U471" s="565"/>
      <c r="V471" s="299"/>
      <c r="W471" s="566"/>
      <c r="X471" s="566"/>
      <c r="Y471" s="288"/>
      <c r="Z471" s="288"/>
      <c r="AA471" s="288"/>
      <c r="AB471" s="390"/>
      <c r="AC471" s="196"/>
      <c r="AD471" s="581" t="s">
        <v>566</v>
      </c>
      <c r="AE471" s="572" t="s">
        <v>567</v>
      </c>
      <c r="AF471" s="586"/>
      <c r="AG471" s="571"/>
      <c r="AH471" s="582"/>
      <c r="AI471" s="31"/>
      <c r="AJ471" s="31"/>
      <c r="AK471" s="31"/>
      <c r="AL471" s="31"/>
      <c r="AM471" s="31"/>
      <c r="AN471" s="31"/>
      <c r="AO471" s="31"/>
      <c r="AP471" s="31"/>
      <c r="AQ471" s="31"/>
      <c r="AR471" s="31"/>
      <c r="AS471" s="31"/>
      <c r="AT471" s="31"/>
      <c r="AU471" s="31"/>
      <c r="AV471" s="31"/>
      <c r="AW471" s="31"/>
      <c r="AX471" s="31"/>
      <c r="AY471" s="31"/>
      <c r="AZ471" s="31"/>
      <c r="BA471" s="31"/>
      <c r="BB471" s="31"/>
      <c r="BC471" s="31"/>
      <c r="BD471" s="31"/>
      <c r="BE471" s="31"/>
      <c r="BF471" s="31"/>
      <c r="BG471" s="31"/>
      <c r="BH471" s="31"/>
    </row>
    <row r="472" spans="1:60" ht="12.75">
      <c r="A472" s="533"/>
      <c r="B472" s="559"/>
      <c r="C472" s="553"/>
      <c r="D472" s="533"/>
      <c r="E472" s="556"/>
      <c r="F472" s="397"/>
      <c r="G472" s="555"/>
      <c r="H472" s="555"/>
      <c r="I472" s="560"/>
      <c r="J472" s="546"/>
      <c r="K472" s="293"/>
      <c r="L472" s="294"/>
      <c r="M472" s="561"/>
      <c r="N472" s="561"/>
      <c r="O472" s="560"/>
      <c r="P472" s="560"/>
      <c r="Q472" s="546"/>
      <c r="R472" s="561"/>
      <c r="S472" s="561"/>
      <c r="T472" s="564"/>
      <c r="U472" s="565"/>
      <c r="V472" s="299"/>
      <c r="W472" s="566"/>
      <c r="X472" s="566"/>
      <c r="Y472" s="288"/>
      <c r="Z472" s="288"/>
      <c r="AA472" s="288"/>
      <c r="AB472" s="390"/>
      <c r="AC472" s="196"/>
      <c r="AD472" s="587" t="s">
        <v>568</v>
      </c>
      <c r="AE472" s="588" t="s">
        <v>569</v>
      </c>
      <c r="AF472" s="588" t="s">
        <v>570</v>
      </c>
      <c r="AG472" s="589">
        <f>VFARS*19.6%</f>
        <v>7.742</v>
      </c>
      <c r="AH472" s="590">
        <f>VFARS*13%</f>
        <v>5.135</v>
      </c>
      <c r="AI472" s="31"/>
      <c r="AJ472" s="31"/>
      <c r="AK472" s="31"/>
      <c r="AL472" s="31"/>
      <c r="AM472" s="31"/>
      <c r="AN472" s="31"/>
      <c r="AO472" s="31"/>
      <c r="AP472" s="31"/>
      <c r="AQ472" s="31"/>
      <c r="AR472" s="31"/>
      <c r="AS472" s="31"/>
      <c r="AT472" s="31"/>
      <c r="AU472" s="31"/>
      <c r="AV472" s="31"/>
      <c r="AW472" s="31"/>
      <c r="AX472" s="31"/>
      <c r="AY472" s="31"/>
      <c r="AZ472" s="31"/>
      <c r="BA472" s="31"/>
      <c r="BB472" s="31"/>
      <c r="BC472" s="31"/>
      <c r="BD472" s="31"/>
      <c r="BE472" s="31"/>
      <c r="BF472" s="31"/>
      <c r="BG472" s="31"/>
      <c r="BH472" s="31"/>
    </row>
    <row r="473" spans="1:60" ht="12.75">
      <c r="A473" s="533"/>
      <c r="B473" s="559"/>
      <c r="C473" s="553"/>
      <c r="D473" s="533"/>
      <c r="E473" s="556"/>
      <c r="F473" s="397"/>
      <c r="G473" s="555"/>
      <c r="H473" s="555"/>
      <c r="I473" s="560"/>
      <c r="J473" s="546"/>
      <c r="K473" s="293"/>
      <c r="L473" s="294"/>
      <c r="M473" s="561"/>
      <c r="N473" s="561"/>
      <c r="O473" s="560"/>
      <c r="P473" s="560"/>
      <c r="Q473" s="546"/>
      <c r="R473" s="561"/>
      <c r="S473" s="561"/>
      <c r="T473" s="564"/>
      <c r="U473" s="565"/>
      <c r="V473" s="299"/>
      <c r="W473" s="566"/>
      <c r="X473" s="566"/>
      <c r="Y473" s="288"/>
      <c r="Z473" s="288"/>
      <c r="AA473" s="288"/>
      <c r="AB473" s="390"/>
      <c r="AC473" s="196"/>
      <c r="AD473" s="587" t="s">
        <v>571</v>
      </c>
      <c r="AE473" s="588" t="s">
        <v>572</v>
      </c>
      <c r="AF473" s="588"/>
      <c r="AG473" s="589"/>
      <c r="AH473" s="590"/>
      <c r="AI473" s="31"/>
      <c r="AJ473" s="31"/>
      <c r="AK473" s="31"/>
      <c r="AL473" s="31"/>
      <c r="AM473" s="31"/>
      <c r="AN473" s="31"/>
      <c r="AO473" s="31"/>
      <c r="AP473" s="31"/>
      <c r="AQ473" s="31"/>
      <c r="AR473" s="31"/>
      <c r="AS473" s="31"/>
      <c r="AT473" s="31"/>
      <c r="AU473" s="31"/>
      <c r="AV473" s="31"/>
      <c r="AW473" s="31"/>
      <c r="AX473" s="31"/>
      <c r="AY473" s="31"/>
      <c r="AZ473" s="31"/>
      <c r="BA473" s="31"/>
      <c r="BB473" s="31"/>
      <c r="BC473" s="31"/>
      <c r="BD473" s="31"/>
      <c r="BE473" s="31"/>
      <c r="BF473" s="31"/>
      <c r="BG473" s="31"/>
      <c r="BH473" s="31"/>
    </row>
    <row r="474" spans="1:60" ht="12.75">
      <c r="A474" s="533"/>
      <c r="B474" s="559"/>
      <c r="C474" s="553"/>
      <c r="D474" s="533"/>
      <c r="E474" s="556"/>
      <c r="F474" s="397"/>
      <c r="G474" s="555"/>
      <c r="H474" s="555"/>
      <c r="I474" s="560"/>
      <c r="J474" s="546"/>
      <c r="K474" s="293"/>
      <c r="L474" s="294"/>
      <c r="M474" s="561"/>
      <c r="N474" s="561"/>
      <c r="O474" s="560"/>
      <c r="P474" s="560"/>
      <c r="Q474" s="546"/>
      <c r="R474" s="561"/>
      <c r="S474" s="561"/>
      <c r="T474" s="564"/>
      <c r="U474" s="565"/>
      <c r="V474" s="299"/>
      <c r="W474" s="566"/>
      <c r="X474" s="566"/>
      <c r="Y474" s="288"/>
      <c r="Z474" s="288"/>
      <c r="AA474" s="288"/>
      <c r="AB474" s="390"/>
      <c r="AC474" s="196"/>
      <c r="AD474" s="583"/>
      <c r="AE474" s="574" t="s">
        <v>573</v>
      </c>
      <c r="AF474" s="574"/>
      <c r="AG474" s="573"/>
      <c r="AH474" s="585"/>
      <c r="AI474" s="31"/>
      <c r="AJ474" s="31"/>
      <c r="AK474" s="31"/>
      <c r="AL474" s="31"/>
      <c r="AM474" s="31"/>
      <c r="AN474" s="31"/>
      <c r="AO474" s="31"/>
      <c r="AP474" s="31"/>
      <c r="AQ474" s="31"/>
      <c r="AR474" s="31"/>
      <c r="AS474" s="31"/>
      <c r="AT474" s="31"/>
      <c r="AU474" s="31"/>
      <c r="AV474" s="31"/>
      <c r="AW474" s="31"/>
      <c r="AX474" s="31"/>
      <c r="AY474" s="31"/>
      <c r="AZ474" s="31"/>
      <c r="BA474" s="31"/>
      <c r="BB474" s="31"/>
      <c r="BC474" s="31"/>
      <c r="BD474" s="31"/>
      <c r="BE474" s="31"/>
      <c r="BF474" s="31"/>
      <c r="BG474" s="31"/>
      <c r="BH474" s="31"/>
    </row>
    <row r="475" spans="1:60" ht="12.75">
      <c r="A475" s="533"/>
      <c r="B475" s="559"/>
      <c r="C475" s="553"/>
      <c r="D475" s="533"/>
      <c r="E475" s="556"/>
      <c r="F475" s="397"/>
      <c r="G475" s="555"/>
      <c r="H475" s="555"/>
      <c r="I475" s="560"/>
      <c r="J475" s="546"/>
      <c r="K475" s="293"/>
      <c r="L475" s="294"/>
      <c r="M475" s="561"/>
      <c r="N475" s="561"/>
      <c r="O475" s="560"/>
      <c r="P475" s="560"/>
      <c r="Q475" s="546"/>
      <c r="R475" s="561"/>
      <c r="S475" s="561"/>
      <c r="T475" s="564"/>
      <c r="U475" s="565"/>
      <c r="V475" s="299"/>
      <c r="W475" s="566"/>
      <c r="X475" s="566"/>
      <c r="Y475" s="288"/>
      <c r="Z475" s="288"/>
      <c r="AA475" s="288"/>
      <c r="AB475" s="390"/>
      <c r="AC475" s="196"/>
      <c r="AD475" s="581" t="s">
        <v>574</v>
      </c>
      <c r="AE475" s="572" t="s">
        <v>575</v>
      </c>
      <c r="AF475" s="572" t="s">
        <v>576</v>
      </c>
      <c r="AG475" s="571">
        <f>VFGO*19.6%</f>
        <v>7.5166</v>
      </c>
      <c r="AH475" s="582">
        <f>VFGO*13%</f>
        <v>4.9855</v>
      </c>
      <c r="AI475" s="31"/>
      <c r="AJ475" s="31"/>
      <c r="AK475" s="31"/>
      <c r="AL475" s="31"/>
      <c r="AM475" s="31"/>
      <c r="AN475" s="31"/>
      <c r="AO475" s="31"/>
      <c r="AP475" s="31"/>
      <c r="AQ475" s="31"/>
      <c r="AR475" s="31"/>
      <c r="AS475" s="31"/>
      <c r="AT475" s="31"/>
      <c r="AU475" s="31"/>
      <c r="AV475" s="31"/>
      <c r="AW475" s="31"/>
      <c r="AX475" s="31"/>
      <c r="AY475" s="31"/>
      <c r="AZ475" s="31"/>
      <c r="BA475" s="31"/>
      <c r="BB475" s="31"/>
      <c r="BC475" s="31"/>
      <c r="BD475" s="31"/>
      <c r="BE475" s="31"/>
      <c r="BF475" s="31"/>
      <c r="BG475" s="31"/>
      <c r="BH475" s="31"/>
    </row>
    <row r="476" spans="1:60" ht="12.75">
      <c r="A476" s="533"/>
      <c r="B476" s="559"/>
      <c r="C476" s="553"/>
      <c r="D476" s="533"/>
      <c r="E476" s="556"/>
      <c r="F476" s="397"/>
      <c r="G476" s="555"/>
      <c r="H476" s="555"/>
      <c r="I476" s="560"/>
      <c r="J476" s="546"/>
      <c r="K476" s="293"/>
      <c r="L476" s="294"/>
      <c r="M476" s="561"/>
      <c r="N476" s="561"/>
      <c r="O476" s="560"/>
      <c r="P476" s="560"/>
      <c r="Q476" s="546"/>
      <c r="R476" s="561"/>
      <c r="S476" s="561"/>
      <c r="T476" s="564"/>
      <c r="U476" s="565"/>
      <c r="V476" s="299"/>
      <c r="W476" s="566"/>
      <c r="X476" s="566"/>
      <c r="Y476" s="288"/>
      <c r="Z476" s="288"/>
      <c r="AA476" s="288"/>
      <c r="AB476" s="390"/>
      <c r="AC476" s="196"/>
      <c r="AD476" s="583"/>
      <c r="AE476" s="574" t="s">
        <v>577</v>
      </c>
      <c r="AF476" s="584"/>
      <c r="AG476" s="573"/>
      <c r="AH476" s="585"/>
      <c r="AI476" s="31"/>
      <c r="AJ476" s="31"/>
      <c r="AK476" s="31"/>
      <c r="AL476" s="31"/>
      <c r="AM476" s="31"/>
      <c r="AN476" s="31"/>
      <c r="AO476" s="31"/>
      <c r="AP476" s="31"/>
      <c r="AQ476" s="31"/>
      <c r="AR476" s="31"/>
      <c r="AS476" s="31"/>
      <c r="AT476" s="31"/>
      <c r="AU476" s="31"/>
      <c r="AV476" s="31"/>
      <c r="AW476" s="31"/>
      <c r="AX476" s="31"/>
      <c r="AY476" s="31"/>
      <c r="AZ476" s="31"/>
      <c r="BA476" s="31"/>
      <c r="BB476" s="31"/>
      <c r="BC476" s="31"/>
      <c r="BD476" s="31"/>
      <c r="BE476" s="31"/>
      <c r="BF476" s="31"/>
      <c r="BG476" s="31"/>
      <c r="BH476" s="31"/>
    </row>
    <row r="477" spans="1:60" ht="12.75">
      <c r="A477" s="533"/>
      <c r="B477" s="559"/>
      <c r="C477" s="553"/>
      <c r="D477" s="533"/>
      <c r="E477" s="556"/>
      <c r="F477" s="397"/>
      <c r="G477" s="555"/>
      <c r="H477" s="555"/>
      <c r="I477" s="560"/>
      <c r="J477" s="546"/>
      <c r="K477" s="293"/>
      <c r="L477" s="294"/>
      <c r="M477" s="561"/>
      <c r="N477" s="561"/>
      <c r="O477" s="560"/>
      <c r="P477" s="560"/>
      <c r="Q477" s="546"/>
      <c r="R477" s="561"/>
      <c r="S477" s="561"/>
      <c r="T477" s="564"/>
      <c r="U477" s="565"/>
      <c r="V477" s="299"/>
      <c r="W477" s="566"/>
      <c r="X477" s="566"/>
      <c r="Y477" s="288"/>
      <c r="Z477" s="288"/>
      <c r="AA477" s="288"/>
      <c r="AB477" s="390"/>
      <c r="AC477" s="196"/>
      <c r="AD477" s="581" t="s">
        <v>578</v>
      </c>
      <c r="AE477" s="572" t="s">
        <v>579</v>
      </c>
      <c r="AF477" s="572" t="s">
        <v>580</v>
      </c>
      <c r="AG477" s="571">
        <f>VFFOD*19.6%</f>
        <v>7.759640000000001</v>
      </c>
      <c r="AH477" s="582">
        <f>VFFOD*13%</f>
        <v>5.146700000000001</v>
      </c>
      <c r="AI477" s="31"/>
      <c r="AJ477" s="31"/>
      <c r="AK477" s="31"/>
      <c r="AL477" s="31"/>
      <c r="AM477" s="31"/>
      <c r="AN477" s="31"/>
      <c r="AO477" s="31"/>
      <c r="AP477" s="31"/>
      <c r="AQ477" s="31"/>
      <c r="AR477" s="31"/>
      <c r="AS477" s="31"/>
      <c r="AT477" s="31"/>
      <c r="AU477" s="31"/>
      <c r="AV477" s="31"/>
      <c r="AW477" s="31"/>
      <c r="AX477" s="31"/>
      <c r="AY477" s="31"/>
      <c r="AZ477" s="31"/>
      <c r="BA477" s="31"/>
      <c r="BB477" s="31"/>
      <c r="BC477" s="31"/>
      <c r="BD477" s="31"/>
      <c r="BE477" s="31"/>
      <c r="BF477" s="31"/>
      <c r="BG477" s="31"/>
      <c r="BH477" s="31"/>
    </row>
    <row r="478" spans="1:60" ht="12.75">
      <c r="A478" s="533"/>
      <c r="B478" s="559"/>
      <c r="C478" s="553"/>
      <c r="D478" s="533"/>
      <c r="E478" s="556"/>
      <c r="F478" s="397"/>
      <c r="G478" s="555"/>
      <c r="H478" s="555"/>
      <c r="I478" s="560"/>
      <c r="J478" s="546"/>
      <c r="K478" s="293"/>
      <c r="L478" s="294"/>
      <c r="M478" s="561"/>
      <c r="N478" s="561"/>
      <c r="O478" s="560"/>
      <c r="P478" s="560"/>
      <c r="Q478" s="546"/>
      <c r="R478" s="561"/>
      <c r="S478" s="561"/>
      <c r="T478" s="564"/>
      <c r="U478" s="565"/>
      <c r="V478" s="299"/>
      <c r="W478" s="566"/>
      <c r="X478" s="566"/>
      <c r="Y478" s="288"/>
      <c r="Z478" s="288"/>
      <c r="AA478" s="288"/>
      <c r="AB478" s="390"/>
      <c r="AC478" s="196"/>
      <c r="AD478" s="583" t="s">
        <v>581</v>
      </c>
      <c r="AE478" s="574"/>
      <c r="AF478" s="593"/>
      <c r="AG478" s="593"/>
      <c r="AH478" s="594"/>
      <c r="AI478" s="31"/>
      <c r="AJ478" s="31"/>
      <c r="AK478" s="31"/>
      <c r="AL478" s="31"/>
      <c r="AM478" s="31"/>
      <c r="AN478" s="31"/>
      <c r="AO478" s="31"/>
      <c r="AP478" s="31"/>
      <c r="AQ478" s="31"/>
      <c r="AR478" s="31"/>
      <c r="AS478" s="31"/>
      <c r="AT478" s="31"/>
      <c r="AU478" s="31"/>
      <c r="AV478" s="31"/>
      <c r="AW478" s="31"/>
      <c r="AX478" s="31"/>
      <c r="AY478" s="31"/>
      <c r="AZ478" s="31"/>
      <c r="BA478" s="31"/>
      <c r="BB478" s="31"/>
      <c r="BC478" s="31"/>
      <c r="BD478" s="31"/>
      <c r="BE478" s="31"/>
      <c r="BF478" s="31"/>
      <c r="BG478" s="31"/>
      <c r="BH478" s="31"/>
    </row>
    <row r="479" spans="1:60" ht="12.75">
      <c r="A479" s="533"/>
      <c r="B479" s="559"/>
      <c r="C479" s="553"/>
      <c r="D479" s="533"/>
      <c r="E479" s="556"/>
      <c r="F479" s="397"/>
      <c r="G479" s="555"/>
      <c r="H479" s="555"/>
      <c r="I479" s="560"/>
      <c r="J479" s="546"/>
      <c r="K479" s="293"/>
      <c r="L479" s="294"/>
      <c r="M479" s="561"/>
      <c r="N479" s="561"/>
      <c r="O479" s="560"/>
      <c r="P479" s="560"/>
      <c r="Q479" s="546"/>
      <c r="R479" s="561"/>
      <c r="S479" s="561"/>
      <c r="T479" s="564"/>
      <c r="U479" s="565"/>
      <c r="V479" s="299"/>
      <c r="W479" s="566"/>
      <c r="X479" s="566"/>
      <c r="Y479" s="288"/>
      <c r="Z479" s="288"/>
      <c r="AA479" s="288"/>
      <c r="AB479" s="390"/>
      <c r="AC479" s="196"/>
      <c r="AD479" s="595" t="s">
        <v>582</v>
      </c>
      <c r="AE479" s="575" t="s">
        <v>583</v>
      </c>
      <c r="AF479" s="596" t="s">
        <v>584</v>
      </c>
      <c r="AG479" s="579">
        <f>VFFOD*19.6%</f>
        <v>7.759640000000001</v>
      </c>
      <c r="AH479" s="580">
        <f>VFFOD*13%</f>
        <v>5.146700000000001</v>
      </c>
      <c r="AI479" s="31"/>
      <c r="AJ479" s="31"/>
      <c r="AK479" s="31"/>
      <c r="AL479" s="31"/>
      <c r="AM479" s="31"/>
      <c r="AN479" s="31"/>
      <c r="AO479" s="31"/>
      <c r="AP479" s="31"/>
      <c r="AQ479" s="31"/>
      <c r="AR479" s="31"/>
      <c r="AS479" s="31"/>
      <c r="AT479" s="31"/>
      <c r="AU479" s="31"/>
      <c r="AV479" s="31"/>
      <c r="AW479" s="31"/>
      <c r="AX479" s="31"/>
      <c r="AY479" s="31"/>
      <c r="AZ479" s="31"/>
      <c r="BA479" s="31"/>
      <c r="BB479" s="31"/>
      <c r="BC479" s="31"/>
      <c r="BD479" s="31"/>
      <c r="BE479" s="31"/>
      <c r="BF479" s="31"/>
      <c r="BG479" s="31"/>
      <c r="BH479" s="31"/>
    </row>
    <row r="480" spans="1:60" ht="12.75">
      <c r="A480" s="533"/>
      <c r="B480" s="559"/>
      <c r="C480" s="553"/>
      <c r="D480" s="533"/>
      <c r="E480" s="556"/>
      <c r="F480" s="397"/>
      <c r="G480" s="555"/>
      <c r="H480" s="555"/>
      <c r="I480" s="560"/>
      <c r="J480" s="546"/>
      <c r="K480" s="293"/>
      <c r="L480" s="294"/>
      <c r="M480" s="561"/>
      <c r="N480" s="561"/>
      <c r="O480" s="560"/>
      <c r="P480" s="560"/>
      <c r="Q480" s="546"/>
      <c r="R480" s="561"/>
      <c r="S480" s="561"/>
      <c r="T480" s="564"/>
      <c r="U480" s="565"/>
      <c r="V480" s="299"/>
      <c r="W480" s="566"/>
      <c r="X480" s="566"/>
      <c r="Y480" s="288"/>
      <c r="Z480" s="288"/>
      <c r="AA480" s="288"/>
      <c r="AB480" s="390"/>
      <c r="AC480" s="196"/>
      <c r="AD480" s="581" t="s">
        <v>585</v>
      </c>
      <c r="AE480" s="572" t="s">
        <v>586</v>
      </c>
      <c r="AF480" s="572" t="s">
        <v>587</v>
      </c>
      <c r="AG480" s="571">
        <f>VFFOD*19.6%</f>
        <v>7.759640000000001</v>
      </c>
      <c r="AH480" s="582">
        <f>VFFOD*13%</f>
        <v>5.146700000000001</v>
      </c>
      <c r="AI480" s="31"/>
      <c r="AJ480" s="31"/>
      <c r="AK480" s="31"/>
      <c r="AL480" s="31"/>
      <c r="AM480" s="31"/>
      <c r="AN480" s="31"/>
      <c r="AO480" s="31"/>
      <c r="AP480" s="31"/>
      <c r="AQ480" s="31"/>
      <c r="AR480" s="31"/>
      <c r="AS480" s="31"/>
      <c r="AT480" s="31"/>
      <c r="AU480" s="31"/>
      <c r="AV480" s="31"/>
      <c r="AW480" s="31"/>
      <c r="AX480" s="31"/>
      <c r="AY480" s="31"/>
      <c r="AZ480" s="31"/>
      <c r="BA480" s="31"/>
      <c r="BB480" s="31"/>
      <c r="BC480" s="31"/>
      <c r="BD480" s="31"/>
      <c r="BE480" s="31"/>
      <c r="BF480" s="31"/>
      <c r="BG480" s="31"/>
      <c r="BH480" s="31"/>
    </row>
    <row r="481" spans="1:60" ht="12.75">
      <c r="A481" s="533"/>
      <c r="B481" s="559"/>
      <c r="C481" s="553"/>
      <c r="D481" s="533"/>
      <c r="E481" s="556"/>
      <c r="F481" s="397"/>
      <c r="G481" s="555"/>
      <c r="H481" s="555"/>
      <c r="I481" s="560"/>
      <c r="J481" s="546"/>
      <c r="K481" s="293"/>
      <c r="L481" s="294"/>
      <c r="M481" s="561"/>
      <c r="N481" s="561"/>
      <c r="O481" s="560"/>
      <c r="P481" s="560"/>
      <c r="Q481" s="546"/>
      <c r="R481" s="561"/>
      <c r="S481" s="561"/>
      <c r="T481" s="564"/>
      <c r="U481" s="565"/>
      <c r="V481" s="299"/>
      <c r="W481" s="566"/>
      <c r="X481" s="566"/>
      <c r="Y481" s="288"/>
      <c r="Z481" s="288"/>
      <c r="AA481" s="288"/>
      <c r="AB481" s="390"/>
      <c r="AC481" s="196"/>
      <c r="AD481" s="587"/>
      <c r="AE481" s="588" t="s">
        <v>588</v>
      </c>
      <c r="AF481" s="597"/>
      <c r="AG481" s="597"/>
      <c r="AH481" s="598"/>
      <c r="AI481" s="31"/>
      <c r="AJ481" s="31"/>
      <c r="AK481" s="31"/>
      <c r="AL481" s="31"/>
      <c r="AM481" s="31"/>
      <c r="AN481" s="31"/>
      <c r="AO481" s="31"/>
      <c r="AP481" s="31"/>
      <c r="AQ481" s="31"/>
      <c r="AR481" s="31"/>
      <c r="AS481" s="31"/>
      <c r="AT481" s="31"/>
      <c r="AU481" s="31"/>
      <c r="AV481" s="31"/>
      <c r="AW481" s="31"/>
      <c r="AX481" s="31"/>
      <c r="AY481" s="31"/>
      <c r="AZ481" s="31"/>
      <c r="BA481" s="31"/>
      <c r="BB481" s="31"/>
      <c r="BC481" s="31"/>
      <c r="BD481" s="31"/>
      <c r="BE481" s="31"/>
      <c r="BF481" s="31"/>
      <c r="BG481" s="31"/>
      <c r="BH481" s="31"/>
    </row>
    <row r="482" spans="1:60" ht="12.75">
      <c r="A482" s="533"/>
      <c r="B482" s="559"/>
      <c r="C482" s="553"/>
      <c r="D482" s="533"/>
      <c r="E482" s="556"/>
      <c r="F482" s="397"/>
      <c r="G482" s="555"/>
      <c r="H482" s="555"/>
      <c r="I482" s="560"/>
      <c r="J482" s="546"/>
      <c r="K482" s="293"/>
      <c r="L482" s="294"/>
      <c r="M482" s="561"/>
      <c r="N482" s="561"/>
      <c r="O482" s="560"/>
      <c r="P482" s="560"/>
      <c r="Q482" s="546"/>
      <c r="R482" s="561"/>
      <c r="S482" s="561"/>
      <c r="T482" s="564"/>
      <c r="U482" s="565"/>
      <c r="V482" s="299"/>
      <c r="W482" s="566"/>
      <c r="X482" s="566"/>
      <c r="Y482" s="288"/>
      <c r="Z482" s="288"/>
      <c r="AA482" s="288"/>
      <c r="AB482" s="390"/>
      <c r="AC482" s="196"/>
      <c r="AD482" s="587"/>
      <c r="AE482" s="588" t="s">
        <v>589</v>
      </c>
      <c r="AF482" s="597"/>
      <c r="AG482" s="597"/>
      <c r="AH482" s="598"/>
      <c r="AI482" s="31"/>
      <c r="AJ482" s="31"/>
      <c r="AK482" s="31"/>
      <c r="AL482" s="31"/>
      <c r="AM482" s="31"/>
      <c r="AN482" s="31"/>
      <c r="AO482" s="31"/>
      <c r="AP482" s="31"/>
      <c r="AQ482" s="31"/>
      <c r="AR482" s="31"/>
      <c r="AS482" s="31"/>
      <c r="AT482" s="31"/>
      <c r="AU482" s="31"/>
      <c r="AV482" s="31"/>
      <c r="AW482" s="31"/>
      <c r="AX482" s="31"/>
      <c r="AY482" s="31"/>
      <c r="AZ482" s="31"/>
      <c r="BA482" s="31"/>
      <c r="BB482" s="31"/>
      <c r="BC482" s="31"/>
      <c r="BD482" s="31"/>
      <c r="BE482" s="31"/>
      <c r="BF482" s="31"/>
      <c r="BG482" s="31"/>
      <c r="BH482" s="31"/>
    </row>
    <row r="483" spans="1:60" ht="12.75">
      <c r="A483" s="533"/>
      <c r="B483" s="559"/>
      <c r="C483" s="553"/>
      <c r="D483" s="533"/>
      <c r="E483" s="556"/>
      <c r="F483" s="397"/>
      <c r="G483" s="555"/>
      <c r="H483" s="555"/>
      <c r="I483" s="560"/>
      <c r="J483" s="546"/>
      <c r="K483" s="293"/>
      <c r="L483" s="294"/>
      <c r="M483" s="561"/>
      <c r="N483" s="561"/>
      <c r="O483" s="560"/>
      <c r="P483" s="560"/>
      <c r="Q483" s="546"/>
      <c r="R483" s="561"/>
      <c r="S483" s="561"/>
      <c r="T483" s="564"/>
      <c r="U483" s="565"/>
      <c r="V483" s="299"/>
      <c r="W483" s="566"/>
      <c r="X483" s="566"/>
      <c r="Y483" s="288"/>
      <c r="Z483" s="288"/>
      <c r="AA483" s="288"/>
      <c r="AB483" s="390"/>
      <c r="AC483" s="196"/>
      <c r="AD483" s="583"/>
      <c r="AE483" s="574" t="s">
        <v>590</v>
      </c>
      <c r="AF483" s="593"/>
      <c r="AG483" s="593"/>
      <c r="AH483" s="594"/>
      <c r="AI483" s="31"/>
      <c r="AJ483" s="31"/>
      <c r="AK483" s="31"/>
      <c r="AL483" s="31"/>
      <c r="AM483" s="31"/>
      <c r="AN483" s="31"/>
      <c r="AO483" s="31"/>
      <c r="AP483" s="31"/>
      <c r="AQ483" s="31"/>
      <c r="AR483" s="31"/>
      <c r="AS483" s="31"/>
      <c r="AT483" s="31"/>
      <c r="AU483" s="31"/>
      <c r="AV483" s="31"/>
      <c r="AW483" s="31"/>
      <c r="AX483" s="31"/>
      <c r="AY483" s="31"/>
      <c r="AZ483" s="31"/>
      <c r="BA483" s="31"/>
      <c r="BB483" s="31"/>
      <c r="BC483" s="31"/>
      <c r="BD483" s="31"/>
      <c r="BE483" s="31"/>
      <c r="BF483" s="31"/>
      <c r="BG483" s="31"/>
      <c r="BH483" s="31"/>
    </row>
    <row r="484" spans="1:60" ht="12.75">
      <c r="A484" s="533"/>
      <c r="B484" s="559"/>
      <c r="C484" s="553"/>
      <c r="D484" s="533"/>
      <c r="E484" s="556"/>
      <c r="F484" s="397"/>
      <c r="G484" s="555"/>
      <c r="H484" s="555"/>
      <c r="I484" s="560"/>
      <c r="J484" s="546"/>
      <c r="K484" s="293"/>
      <c r="L484" s="294"/>
      <c r="M484" s="561"/>
      <c r="N484" s="561"/>
      <c r="O484" s="560"/>
      <c r="P484" s="560"/>
      <c r="Q484" s="546"/>
      <c r="R484" s="561"/>
      <c r="S484" s="561"/>
      <c r="T484" s="564"/>
      <c r="U484" s="565"/>
      <c r="V484" s="299"/>
      <c r="W484" s="566"/>
      <c r="X484" s="566"/>
      <c r="Y484" s="288"/>
      <c r="Z484" s="288"/>
      <c r="AA484" s="288"/>
      <c r="AB484" s="390"/>
      <c r="AC484" s="196"/>
      <c r="AD484" s="581" t="s">
        <v>591</v>
      </c>
      <c r="AE484" s="572" t="s">
        <v>592</v>
      </c>
      <c r="AF484" s="572" t="s">
        <v>593</v>
      </c>
      <c r="AG484" s="571">
        <f>VFBS*19.6%</f>
        <v>4.31004</v>
      </c>
      <c r="AH484" s="582">
        <f>VFBS*13%</f>
        <v>2.8587</v>
      </c>
      <c r="AI484" s="31"/>
      <c r="AJ484" s="31"/>
      <c r="AK484" s="31"/>
      <c r="AL484" s="31"/>
      <c r="AM484" s="31"/>
      <c r="AN484" s="31"/>
      <c r="AO484" s="31"/>
      <c r="AP484" s="31"/>
      <c r="AQ484" s="31"/>
      <c r="AR484" s="31"/>
      <c r="AS484" s="31"/>
      <c r="AT484" s="31"/>
      <c r="AU484" s="31"/>
      <c r="AV484" s="31"/>
      <c r="AW484" s="31"/>
      <c r="AX484" s="31"/>
      <c r="AY484" s="31"/>
      <c r="AZ484" s="31"/>
      <c r="BA484" s="31"/>
      <c r="BB484" s="31"/>
      <c r="BC484" s="31"/>
      <c r="BD484" s="31"/>
      <c r="BE484" s="31"/>
      <c r="BF484" s="31"/>
      <c r="BG484" s="31"/>
      <c r="BH484" s="31"/>
    </row>
    <row r="485" spans="1:60" ht="12.75">
      <c r="A485" s="533"/>
      <c r="B485" s="559"/>
      <c r="C485" s="553"/>
      <c r="D485" s="533"/>
      <c r="E485" s="556"/>
      <c r="F485" s="397"/>
      <c r="G485" s="555"/>
      <c r="H485" s="555"/>
      <c r="I485" s="560"/>
      <c r="J485" s="546"/>
      <c r="K485" s="293"/>
      <c r="L485" s="294"/>
      <c r="M485" s="561"/>
      <c r="N485" s="561"/>
      <c r="O485" s="560"/>
      <c r="P485" s="560"/>
      <c r="Q485" s="546"/>
      <c r="R485" s="561"/>
      <c r="S485" s="561"/>
      <c r="T485" s="564"/>
      <c r="U485" s="565"/>
      <c r="V485" s="299"/>
      <c r="W485" s="566"/>
      <c r="X485" s="566"/>
      <c r="Y485" s="288"/>
      <c r="Z485" s="288"/>
      <c r="AA485" s="288"/>
      <c r="AB485" s="390"/>
      <c r="AC485" s="196"/>
      <c r="AD485" s="583"/>
      <c r="AE485" s="574" t="s">
        <v>594</v>
      </c>
      <c r="AF485" s="584"/>
      <c r="AG485" s="573"/>
      <c r="AH485" s="585"/>
      <c r="AI485" s="31"/>
      <c r="AJ485" s="31"/>
      <c r="AK485" s="31"/>
      <c r="AL485" s="31"/>
      <c r="AM485" s="31"/>
      <c r="AN485" s="31"/>
      <c r="AO485" s="31"/>
      <c r="AP485" s="31"/>
      <c r="AQ485" s="31"/>
      <c r="AR485" s="31"/>
      <c r="AS485" s="31"/>
      <c r="AT485" s="31"/>
      <c r="AU485" s="31"/>
      <c r="AV485" s="31"/>
      <c r="AW485" s="31"/>
      <c r="AX485" s="31"/>
      <c r="AY485" s="31"/>
      <c r="AZ485" s="31"/>
      <c r="BA485" s="31"/>
      <c r="BB485" s="31"/>
      <c r="BC485" s="31"/>
      <c r="BD485" s="31"/>
      <c r="BE485" s="31"/>
      <c r="BF485" s="31"/>
      <c r="BG485" s="31"/>
      <c r="BH485" s="31"/>
    </row>
    <row r="486" spans="1:60" ht="12.75">
      <c r="A486" s="533"/>
      <c r="B486" s="559"/>
      <c r="C486" s="553"/>
      <c r="D486" s="533"/>
      <c r="E486" s="556"/>
      <c r="F486" s="397"/>
      <c r="G486" s="555"/>
      <c r="H486" s="555"/>
      <c r="I486" s="560"/>
      <c r="J486" s="546"/>
      <c r="K486" s="293"/>
      <c r="L486" s="294"/>
      <c r="M486" s="561"/>
      <c r="N486" s="561"/>
      <c r="O486" s="560"/>
      <c r="P486" s="560"/>
      <c r="Q486" s="546"/>
      <c r="R486" s="561"/>
      <c r="S486" s="561"/>
      <c r="T486" s="564"/>
      <c r="U486" s="565"/>
      <c r="V486" s="299"/>
      <c r="W486" s="566"/>
      <c r="X486" s="566"/>
      <c r="Y486" s="288"/>
      <c r="Z486" s="288"/>
      <c r="AA486" s="288"/>
      <c r="AB486" s="390"/>
      <c r="AC486" s="196"/>
      <c r="AD486" s="581" t="s">
        <v>595</v>
      </c>
      <c r="AE486" s="572" t="s">
        <v>596</v>
      </c>
      <c r="AF486" s="572" t="s">
        <v>597</v>
      </c>
      <c r="AG486" s="571">
        <f>VFFHS*19.6%</f>
        <v>3.77692</v>
      </c>
      <c r="AH486" s="582">
        <f>VFFHS*13%</f>
        <v>2.5051</v>
      </c>
      <c r="AI486" s="31"/>
      <c r="AJ486" s="31"/>
      <c r="AK486" s="31"/>
      <c r="AL486" s="31"/>
      <c r="AM486" s="31"/>
      <c r="AN486" s="31"/>
      <c r="AO486" s="31"/>
      <c r="AP486" s="31"/>
      <c r="AQ486" s="31"/>
      <c r="AR486" s="31"/>
      <c r="AS486" s="31"/>
      <c r="AT486" s="31"/>
      <c r="AU486" s="31"/>
      <c r="AV486" s="31"/>
      <c r="AW486" s="31"/>
      <c r="AX486" s="31"/>
      <c r="AY486" s="31"/>
      <c r="AZ486" s="31"/>
      <c r="BA486" s="31"/>
      <c r="BB486" s="31"/>
      <c r="BC486" s="31"/>
      <c r="BD486" s="31"/>
      <c r="BE486" s="31"/>
      <c r="BF486" s="31"/>
      <c r="BG486" s="31"/>
      <c r="BH486" s="31"/>
    </row>
    <row r="487" spans="1:60" ht="12.75">
      <c r="A487" s="533"/>
      <c r="B487" s="559"/>
      <c r="C487" s="553"/>
      <c r="D487" s="533"/>
      <c r="E487" s="556"/>
      <c r="F487" s="397"/>
      <c r="G487" s="555"/>
      <c r="H487" s="555"/>
      <c r="I487" s="560"/>
      <c r="J487" s="546"/>
      <c r="K487" s="293"/>
      <c r="L487" s="294"/>
      <c r="M487" s="561"/>
      <c r="N487" s="561"/>
      <c r="O487" s="560"/>
      <c r="P487" s="560"/>
      <c r="Q487" s="546"/>
      <c r="R487" s="561"/>
      <c r="S487" s="561"/>
      <c r="T487" s="564"/>
      <c r="U487" s="565"/>
      <c r="V487" s="299"/>
      <c r="W487" s="566"/>
      <c r="X487" s="566"/>
      <c r="Y487" s="288"/>
      <c r="Z487" s="288"/>
      <c r="AA487" s="288"/>
      <c r="AB487" s="390"/>
      <c r="AC487" s="196"/>
      <c r="AD487" s="583"/>
      <c r="AE487" s="574" t="s">
        <v>598</v>
      </c>
      <c r="AF487" s="574"/>
      <c r="AG487" s="573"/>
      <c r="AH487" s="585"/>
      <c r="AI487" s="31"/>
      <c r="AJ487" s="31"/>
      <c r="AK487" s="31"/>
      <c r="AL487" s="31"/>
      <c r="AM487" s="31"/>
      <c r="AN487" s="31"/>
      <c r="AO487" s="31"/>
      <c r="AP487" s="31"/>
      <c r="AQ487" s="31"/>
      <c r="AR487" s="31"/>
      <c r="AS487" s="31"/>
      <c r="AT487" s="31"/>
      <c r="AU487" s="31"/>
      <c r="AV487" s="31"/>
      <c r="AW487" s="31"/>
      <c r="AX487" s="31"/>
      <c r="AY487" s="31"/>
      <c r="AZ487" s="31"/>
      <c r="BA487" s="31"/>
      <c r="BB487" s="31"/>
      <c r="BC487" s="31"/>
      <c r="BD487" s="31"/>
      <c r="BE487" s="31"/>
      <c r="BF487" s="31"/>
      <c r="BG487" s="31"/>
      <c r="BH487" s="31"/>
    </row>
    <row r="488" spans="1:60" ht="12.75">
      <c r="A488" s="533"/>
      <c r="B488" s="559"/>
      <c r="C488" s="553"/>
      <c r="D488" s="533"/>
      <c r="E488" s="556"/>
      <c r="F488" s="397"/>
      <c r="G488" s="555"/>
      <c r="H488" s="555"/>
      <c r="I488" s="560"/>
      <c r="J488" s="546"/>
      <c r="K488" s="293"/>
      <c r="L488" s="294"/>
      <c r="M488" s="561"/>
      <c r="N488" s="561"/>
      <c r="O488" s="560"/>
      <c r="P488" s="560"/>
      <c r="Q488" s="546"/>
      <c r="R488" s="561"/>
      <c r="S488" s="561"/>
      <c r="T488" s="564"/>
      <c r="U488" s="565"/>
      <c r="V488" s="299"/>
      <c r="W488" s="566"/>
      <c r="X488" s="566"/>
      <c r="Y488" s="288"/>
      <c r="Z488" s="288"/>
      <c r="AA488" s="288"/>
      <c r="AB488" s="390"/>
      <c r="AC488" s="196"/>
      <c r="AD488" s="581" t="s">
        <v>599</v>
      </c>
      <c r="AE488" s="572"/>
      <c r="AF488" s="572"/>
      <c r="AG488" s="571"/>
      <c r="AH488" s="582"/>
      <c r="AI488" s="31"/>
      <c r="AJ488" s="31"/>
      <c r="AK488" s="31"/>
      <c r="AL488" s="31"/>
      <c r="AM488" s="31"/>
      <c r="AN488" s="31"/>
      <c r="AO488" s="31"/>
      <c r="AP488" s="31"/>
      <c r="AQ488" s="31"/>
      <c r="AR488" s="31"/>
      <c r="AS488" s="31"/>
      <c r="AT488" s="31"/>
      <c r="AU488" s="31"/>
      <c r="AV488" s="31"/>
      <c r="AW488" s="31"/>
      <c r="AX488" s="31"/>
      <c r="AY488" s="31"/>
      <c r="AZ488" s="31"/>
      <c r="BA488" s="31"/>
      <c r="BB488" s="31"/>
      <c r="BC488" s="31"/>
      <c r="BD488" s="31"/>
      <c r="BE488" s="31"/>
      <c r="BF488" s="31"/>
      <c r="BG488" s="31"/>
      <c r="BH488" s="31"/>
    </row>
    <row r="489" spans="1:60" ht="12.75">
      <c r="A489" s="533"/>
      <c r="B489" s="559"/>
      <c r="C489" s="553"/>
      <c r="D489" s="533"/>
      <c r="E489" s="556"/>
      <c r="F489" s="397"/>
      <c r="G489" s="555"/>
      <c r="H489" s="555"/>
      <c r="I489" s="560"/>
      <c r="J489" s="546"/>
      <c r="K489" s="293"/>
      <c r="L489" s="294"/>
      <c r="M489" s="561"/>
      <c r="N489" s="561"/>
      <c r="O489" s="560"/>
      <c r="P489" s="560"/>
      <c r="Q489" s="546"/>
      <c r="R489" s="561"/>
      <c r="S489" s="561"/>
      <c r="T489" s="564"/>
      <c r="U489" s="565"/>
      <c r="V489" s="299"/>
      <c r="W489" s="566"/>
      <c r="X489" s="566"/>
      <c r="Y489" s="288"/>
      <c r="Z489" s="288"/>
      <c r="AA489" s="288"/>
      <c r="AB489" s="390"/>
      <c r="AC489" s="196"/>
      <c r="AD489" s="587" t="s">
        <v>600</v>
      </c>
      <c r="AE489" s="588" t="s">
        <v>601</v>
      </c>
      <c r="AF489" s="588" t="s">
        <v>602</v>
      </c>
      <c r="AG489" s="589">
        <f>VFPRO*19.6%</f>
        <v>6.69144</v>
      </c>
      <c r="AH489" s="590">
        <f>VFPRO*13%</f>
        <v>4.4382</v>
      </c>
      <c r="AI489" s="31"/>
      <c r="AJ489" s="31"/>
      <c r="AK489" s="31"/>
      <c r="AL489" s="31"/>
      <c r="AM489" s="31"/>
      <c r="AN489" s="31"/>
      <c r="AO489" s="31"/>
      <c r="AP489" s="31"/>
      <c r="AQ489" s="31"/>
      <c r="AR489" s="31"/>
      <c r="AS489" s="31"/>
      <c r="AT489" s="31"/>
      <c r="AU489" s="31"/>
      <c r="AV489" s="31"/>
      <c r="AW489" s="31"/>
      <c r="AX489" s="31"/>
      <c r="AY489" s="31"/>
      <c r="AZ489" s="31"/>
      <c r="BA489" s="31"/>
      <c r="BB489" s="31"/>
      <c r="BC489" s="31"/>
      <c r="BD489" s="31"/>
      <c r="BE489" s="31"/>
      <c r="BF489" s="31"/>
      <c r="BG489" s="31"/>
      <c r="BH489" s="31"/>
    </row>
    <row r="490" spans="1:60" ht="12.75">
      <c r="A490" s="533"/>
      <c r="B490" s="559"/>
      <c r="C490" s="553"/>
      <c r="D490" s="533"/>
      <c r="E490" s="556"/>
      <c r="F490" s="397"/>
      <c r="G490" s="555"/>
      <c r="H490" s="555"/>
      <c r="I490" s="560"/>
      <c r="J490" s="546"/>
      <c r="K490" s="293"/>
      <c r="L490" s="294"/>
      <c r="M490" s="561"/>
      <c r="N490" s="561"/>
      <c r="O490" s="560"/>
      <c r="P490" s="560"/>
      <c r="Q490" s="546"/>
      <c r="R490" s="561"/>
      <c r="S490" s="561"/>
      <c r="T490" s="564"/>
      <c r="U490" s="565"/>
      <c r="V490" s="299"/>
      <c r="W490" s="566"/>
      <c r="X490" s="566"/>
      <c r="Y490" s="288"/>
      <c r="Z490" s="288"/>
      <c r="AA490" s="288"/>
      <c r="AB490" s="390"/>
      <c r="AC490" s="196"/>
      <c r="AD490" s="583" t="s">
        <v>603</v>
      </c>
      <c r="AE490" s="574"/>
      <c r="AF490" s="574"/>
      <c r="AG490" s="573"/>
      <c r="AH490" s="585"/>
      <c r="AI490" s="31"/>
      <c r="AJ490" s="31"/>
      <c r="AK490" s="31"/>
      <c r="AL490" s="31"/>
      <c r="AM490" s="31"/>
      <c r="AN490" s="31"/>
      <c r="AO490" s="31"/>
      <c r="AP490" s="31"/>
      <c r="AQ490" s="31"/>
      <c r="AR490" s="31"/>
      <c r="AS490" s="31"/>
      <c r="AT490" s="31"/>
      <c r="AU490" s="31"/>
      <c r="AV490" s="31"/>
      <c r="AW490" s="31"/>
      <c r="AX490" s="31"/>
      <c r="AY490" s="31"/>
      <c r="AZ490" s="31"/>
      <c r="BA490" s="31"/>
      <c r="BB490" s="31"/>
      <c r="BC490" s="31"/>
      <c r="BD490" s="31"/>
      <c r="BE490" s="31"/>
      <c r="BF490" s="31"/>
      <c r="BG490" s="31"/>
      <c r="BH490" s="31"/>
    </row>
    <row r="491" spans="1:60" ht="12.75">
      <c r="A491" s="533"/>
      <c r="B491" s="559"/>
      <c r="C491" s="553"/>
      <c r="D491" s="533"/>
      <c r="E491" s="556"/>
      <c r="F491" s="397"/>
      <c r="G491" s="555"/>
      <c r="H491" s="555"/>
      <c r="I491" s="560"/>
      <c r="J491" s="546"/>
      <c r="K491" s="293"/>
      <c r="L491" s="294"/>
      <c r="M491" s="561"/>
      <c r="N491" s="561"/>
      <c r="O491" s="560"/>
      <c r="P491" s="560"/>
      <c r="Q491" s="546"/>
      <c r="R491" s="561"/>
      <c r="S491" s="561"/>
      <c r="T491" s="564"/>
      <c r="U491" s="565"/>
      <c r="V491" s="299"/>
      <c r="W491" s="566"/>
      <c r="X491" s="566"/>
      <c r="Y491" s="288"/>
      <c r="Z491" s="288"/>
      <c r="AA491" s="288"/>
      <c r="AB491" s="390"/>
      <c r="AC491" s="196"/>
      <c r="AD491" s="581" t="s">
        <v>604</v>
      </c>
      <c r="AE491" s="572"/>
      <c r="AF491" s="572"/>
      <c r="AG491" s="571"/>
      <c r="AH491" s="582"/>
      <c r="AI491" s="31"/>
      <c r="AJ491" s="31"/>
      <c r="AK491" s="31"/>
      <c r="AL491" s="31"/>
      <c r="AM491" s="31"/>
      <c r="AN491" s="31"/>
      <c r="AO491" s="31"/>
      <c r="AP491" s="31"/>
      <c r="AQ491" s="31"/>
      <c r="AR491" s="31"/>
      <c r="AS491" s="31"/>
      <c r="AT491" s="31"/>
      <c r="AU491" s="31"/>
      <c r="AV491" s="31"/>
      <c r="AW491" s="31"/>
      <c r="AX491" s="31"/>
      <c r="AY491" s="31"/>
      <c r="AZ491" s="31"/>
      <c r="BA491" s="31"/>
      <c r="BB491" s="31"/>
      <c r="BC491" s="31"/>
      <c r="BD491" s="31"/>
      <c r="BE491" s="31"/>
      <c r="BF491" s="31"/>
      <c r="BG491" s="31"/>
      <c r="BH491" s="31"/>
    </row>
    <row r="492" spans="1:60" ht="12.75">
      <c r="A492" s="533"/>
      <c r="B492" s="559"/>
      <c r="C492" s="553"/>
      <c r="D492" s="533"/>
      <c r="E492" s="556"/>
      <c r="F492" s="397"/>
      <c r="G492" s="555"/>
      <c r="H492" s="555"/>
      <c r="I492" s="560"/>
      <c r="J492" s="546"/>
      <c r="K492" s="293"/>
      <c r="L492" s="294"/>
      <c r="M492" s="561"/>
      <c r="N492" s="561"/>
      <c r="O492" s="560"/>
      <c r="P492" s="560"/>
      <c r="Q492" s="546"/>
      <c r="R492" s="561"/>
      <c r="S492" s="561"/>
      <c r="T492" s="564"/>
      <c r="U492" s="565"/>
      <c r="V492" s="299"/>
      <c r="W492" s="566"/>
      <c r="X492" s="566"/>
      <c r="Y492" s="288"/>
      <c r="Z492" s="288"/>
      <c r="AA492" s="288"/>
      <c r="AB492" s="390"/>
      <c r="AC492" s="196"/>
      <c r="AD492" s="587" t="s">
        <v>605</v>
      </c>
      <c r="AE492" s="588" t="s">
        <v>606</v>
      </c>
      <c r="AF492" s="588" t="s">
        <v>607</v>
      </c>
      <c r="AG492" s="589">
        <f>VFBUT*19.6%</f>
        <v>7.6146</v>
      </c>
      <c r="AH492" s="590">
        <f>VFBUT*13%</f>
        <v>5.0505</v>
      </c>
      <c r="AI492" s="31"/>
      <c r="AJ492" s="31"/>
      <c r="AK492" s="31"/>
      <c r="AL492" s="31"/>
      <c r="AM492" s="31"/>
      <c r="AN492" s="31"/>
      <c r="AO492" s="31"/>
      <c r="AP492" s="31"/>
      <c r="AQ492" s="31"/>
      <c r="AR492" s="31"/>
      <c r="AS492" s="31"/>
      <c r="AT492" s="31"/>
      <c r="AU492" s="31"/>
      <c r="AV492" s="31"/>
      <c r="AW492" s="31"/>
      <c r="AX492" s="31"/>
      <c r="AY492" s="31"/>
      <c r="AZ492" s="31"/>
      <c r="BA492" s="31"/>
      <c r="BB492" s="31"/>
      <c r="BC492" s="31"/>
      <c r="BD492" s="31"/>
      <c r="BE492" s="31"/>
      <c r="BF492" s="31"/>
      <c r="BG492" s="31"/>
      <c r="BH492" s="31"/>
    </row>
    <row r="493" spans="1:60" ht="12.75">
      <c r="A493" s="533"/>
      <c r="B493" s="559"/>
      <c r="C493" s="553"/>
      <c r="D493" s="533"/>
      <c r="E493" s="556"/>
      <c r="F493" s="397"/>
      <c r="G493" s="555"/>
      <c r="H493" s="555"/>
      <c r="I493" s="560"/>
      <c r="J493" s="546"/>
      <c r="K493" s="293"/>
      <c r="L493" s="294"/>
      <c r="M493" s="561"/>
      <c r="N493" s="561"/>
      <c r="O493" s="560"/>
      <c r="P493" s="560"/>
      <c r="Q493" s="546"/>
      <c r="R493" s="561"/>
      <c r="S493" s="561"/>
      <c r="T493" s="564"/>
      <c r="U493" s="565"/>
      <c r="V493" s="299"/>
      <c r="W493" s="566"/>
      <c r="X493" s="566"/>
      <c r="Y493" s="288"/>
      <c r="Z493" s="288"/>
      <c r="AA493" s="288"/>
      <c r="AB493" s="390"/>
      <c r="AC493" s="196"/>
      <c r="AD493" s="583" t="s">
        <v>608</v>
      </c>
      <c r="AE493" s="574"/>
      <c r="AF493" s="574"/>
      <c r="AG493" s="573"/>
      <c r="AH493" s="585"/>
      <c r="AI493" s="31"/>
      <c r="AJ493" s="31"/>
      <c r="AK493" s="31"/>
      <c r="AL493" s="31"/>
      <c r="AM493" s="31"/>
      <c r="AN493" s="31"/>
      <c r="AO493" s="31"/>
      <c r="AP493" s="31"/>
      <c r="AQ493" s="31"/>
      <c r="AR493" s="31"/>
      <c r="AS493" s="31"/>
      <c r="AT493" s="31"/>
      <c r="AU493" s="31"/>
      <c r="AV493" s="31"/>
      <c r="AW493" s="31"/>
      <c r="AX493" s="31"/>
      <c r="AY493" s="31"/>
      <c r="AZ493" s="31"/>
      <c r="BA493" s="31"/>
      <c r="BB493" s="31"/>
      <c r="BC493" s="31"/>
      <c r="BD493" s="31"/>
      <c r="BE493" s="31"/>
      <c r="BF493" s="31"/>
      <c r="BG493" s="31"/>
      <c r="BH493" s="31"/>
    </row>
    <row r="494" spans="1:60" ht="12.75">
      <c r="A494" s="533"/>
      <c r="B494" s="559"/>
      <c r="C494" s="553"/>
      <c r="D494" s="533"/>
      <c r="E494" s="556"/>
      <c r="F494" s="397"/>
      <c r="G494" s="555"/>
      <c r="H494" s="555"/>
      <c r="I494" s="560"/>
      <c r="J494" s="546"/>
      <c r="K494" s="293"/>
      <c r="L494" s="294"/>
      <c r="M494" s="561"/>
      <c r="N494" s="561"/>
      <c r="O494" s="560"/>
      <c r="P494" s="560"/>
      <c r="Q494" s="546"/>
      <c r="R494" s="561"/>
      <c r="S494" s="561"/>
      <c r="T494" s="564"/>
      <c r="U494" s="565"/>
      <c r="V494" s="299"/>
      <c r="W494" s="566"/>
      <c r="X494" s="566"/>
      <c r="Y494" s="288"/>
      <c r="Z494" s="288"/>
      <c r="AA494" s="288"/>
      <c r="AB494" s="390"/>
      <c r="AC494" s="196"/>
      <c r="AD494" s="581" t="s">
        <v>609</v>
      </c>
      <c r="AE494" s="572"/>
      <c r="AF494" s="572"/>
      <c r="AG494" s="571"/>
      <c r="AH494" s="582"/>
      <c r="AI494" s="31"/>
      <c r="AJ494" s="31"/>
      <c r="AK494" s="31"/>
      <c r="AL494" s="31"/>
      <c r="AM494" s="31"/>
      <c r="AN494" s="31"/>
      <c r="AO494" s="31"/>
      <c r="AP494" s="31"/>
      <c r="AQ494" s="31"/>
      <c r="AR494" s="31"/>
      <c r="AS494" s="31"/>
      <c r="AT494" s="31"/>
      <c r="AU494" s="31"/>
      <c r="AV494" s="31"/>
      <c r="AW494" s="31"/>
      <c r="AX494" s="31"/>
      <c r="AY494" s="31"/>
      <c r="AZ494" s="31"/>
      <c r="BA494" s="31"/>
      <c r="BB494" s="31"/>
      <c r="BC494" s="31"/>
      <c r="BD494" s="31"/>
      <c r="BE494" s="31"/>
      <c r="BF494" s="31"/>
      <c r="BG494" s="31"/>
      <c r="BH494" s="31"/>
    </row>
    <row r="495" spans="1:60" ht="12.75">
      <c r="A495" s="533"/>
      <c r="B495" s="559"/>
      <c r="C495" s="553"/>
      <c r="D495" s="533"/>
      <c r="E495" s="556"/>
      <c r="F495" s="397"/>
      <c r="G495" s="555"/>
      <c r="H495" s="555"/>
      <c r="I495" s="560"/>
      <c r="J495" s="546"/>
      <c r="K495" s="293"/>
      <c r="L495" s="294"/>
      <c r="M495" s="561"/>
      <c r="N495" s="561"/>
      <c r="O495" s="560"/>
      <c r="P495" s="560"/>
      <c r="Q495" s="546"/>
      <c r="R495" s="561"/>
      <c r="S495" s="561"/>
      <c r="T495" s="564"/>
      <c r="U495" s="565"/>
      <c r="V495" s="299"/>
      <c r="W495" s="566"/>
      <c r="X495" s="566"/>
      <c r="Y495" s="288"/>
      <c r="Z495" s="288"/>
      <c r="AA495" s="288"/>
      <c r="AB495" s="390"/>
      <c r="AC495" s="196"/>
      <c r="AD495" s="587" t="s">
        <v>610</v>
      </c>
      <c r="AE495" s="588" t="s">
        <v>611</v>
      </c>
      <c r="AF495" s="588" t="s">
        <v>612</v>
      </c>
      <c r="AG495" s="589">
        <f>VFBUT*19.6%</f>
        <v>7.6146</v>
      </c>
      <c r="AH495" s="590">
        <f>VFBUT*13%</f>
        <v>5.0505</v>
      </c>
      <c r="AI495" s="31"/>
      <c r="AJ495" s="31"/>
      <c r="AK495" s="31"/>
      <c r="AL495" s="31"/>
      <c r="AM495" s="31"/>
      <c r="AN495" s="31"/>
      <c r="AO495" s="31"/>
      <c r="AP495" s="31"/>
      <c r="AQ495" s="31"/>
      <c r="AR495" s="31"/>
      <c r="AS495" s="31"/>
      <c r="AT495" s="31"/>
      <c r="AU495" s="31"/>
      <c r="AV495" s="31"/>
      <c r="AW495" s="31"/>
      <c r="AX495" s="31"/>
      <c r="AY495" s="31"/>
      <c r="AZ495" s="31"/>
      <c r="BA495" s="31"/>
      <c r="BB495" s="31"/>
      <c r="BC495" s="31"/>
      <c r="BD495" s="31"/>
      <c r="BE495" s="31"/>
      <c r="BF495" s="31"/>
      <c r="BG495" s="31"/>
      <c r="BH495" s="31"/>
    </row>
    <row r="496" spans="1:60" ht="12.75">
      <c r="A496" s="533"/>
      <c r="B496" s="559"/>
      <c r="C496" s="553"/>
      <c r="D496" s="533"/>
      <c r="E496" s="556"/>
      <c r="F496" s="397"/>
      <c r="G496" s="555"/>
      <c r="H496" s="555"/>
      <c r="I496" s="560"/>
      <c r="J496" s="546"/>
      <c r="K496" s="293"/>
      <c r="L496" s="294"/>
      <c r="M496" s="561"/>
      <c r="N496" s="561"/>
      <c r="O496" s="560"/>
      <c r="P496" s="560"/>
      <c r="Q496" s="546"/>
      <c r="R496" s="561"/>
      <c r="S496" s="561"/>
      <c r="T496" s="564"/>
      <c r="U496" s="565"/>
      <c r="V496" s="299"/>
      <c r="W496" s="566"/>
      <c r="X496" s="566"/>
      <c r="Y496" s="288"/>
      <c r="Z496" s="288"/>
      <c r="AA496" s="288"/>
      <c r="AB496" s="390"/>
      <c r="AC496" s="196"/>
      <c r="AD496" s="583"/>
      <c r="AE496" s="574"/>
      <c r="AF496" s="574"/>
      <c r="AG496" s="573"/>
      <c r="AH496" s="585"/>
      <c r="AI496" s="31"/>
      <c r="AJ496" s="31"/>
      <c r="AK496" s="31"/>
      <c r="AL496" s="31"/>
      <c r="AM496" s="31"/>
      <c r="AN496" s="31"/>
      <c r="AO496" s="31"/>
      <c r="AP496" s="31"/>
      <c r="AQ496" s="31"/>
      <c r="AR496" s="31"/>
      <c r="AS496" s="31"/>
      <c r="AT496" s="31"/>
      <c r="AU496" s="31"/>
      <c r="AV496" s="31"/>
      <c r="AW496" s="31"/>
      <c r="AX496" s="31"/>
      <c r="AY496" s="31"/>
      <c r="AZ496" s="31"/>
      <c r="BA496" s="31"/>
      <c r="BB496" s="31"/>
      <c r="BC496" s="31"/>
      <c r="BD496" s="31"/>
      <c r="BE496" s="31"/>
      <c r="BF496" s="31"/>
      <c r="BG496" s="31"/>
      <c r="BH496" s="31"/>
    </row>
    <row r="497" spans="1:60" ht="12.75">
      <c r="A497" s="533"/>
      <c r="B497" s="559"/>
      <c r="C497" s="553"/>
      <c r="D497" s="533"/>
      <c r="E497" s="556"/>
      <c r="F497" s="397"/>
      <c r="G497" s="555"/>
      <c r="H497" s="555"/>
      <c r="I497" s="560"/>
      <c r="J497" s="546"/>
      <c r="K497" s="293"/>
      <c r="L497" s="294"/>
      <c r="M497" s="561"/>
      <c r="N497" s="561"/>
      <c r="O497" s="560"/>
      <c r="P497" s="560"/>
      <c r="Q497" s="546"/>
      <c r="R497" s="561"/>
      <c r="S497" s="561"/>
      <c r="T497" s="564"/>
      <c r="U497" s="565"/>
      <c r="V497" s="299"/>
      <c r="W497" s="566"/>
      <c r="X497" s="566"/>
      <c r="Y497" s="288"/>
      <c r="Z497" s="288"/>
      <c r="AA497" s="288"/>
      <c r="AB497" s="390"/>
      <c r="AC497" s="196"/>
      <c r="AD497" s="581"/>
      <c r="AE497" s="599" t="s">
        <v>613</v>
      </c>
      <c r="AF497" s="572"/>
      <c r="AG497" s="571"/>
      <c r="AH497" s="582"/>
      <c r="AI497" s="31"/>
      <c r="AJ497" s="31"/>
      <c r="AK497" s="31"/>
      <c r="AL497" s="31"/>
      <c r="AM497" s="31"/>
      <c r="AN497" s="31"/>
      <c r="AO497" s="31"/>
      <c r="AP497" s="31"/>
      <c r="AQ497" s="31"/>
      <c r="AR497" s="31"/>
      <c r="AS497" s="31"/>
      <c r="AT497" s="31"/>
      <c r="AU497" s="31"/>
      <c r="AV497" s="31"/>
      <c r="AW497" s="31"/>
      <c r="AX497" s="31"/>
      <c r="AY497" s="31"/>
      <c r="AZ497" s="31"/>
      <c r="BA497" s="31"/>
      <c r="BB497" s="31"/>
      <c r="BC497" s="31"/>
      <c r="BD497" s="31"/>
      <c r="BE497" s="31"/>
      <c r="BF497" s="31"/>
      <c r="BG497" s="31"/>
      <c r="BH497" s="31"/>
    </row>
    <row r="498" spans="1:60" ht="12.75">
      <c r="A498" s="533"/>
      <c r="B498" s="559"/>
      <c r="C498" s="553"/>
      <c r="D498" s="533"/>
      <c r="E498" s="556"/>
      <c r="F498" s="397"/>
      <c r="G498" s="555"/>
      <c r="H498" s="555"/>
      <c r="I498" s="560"/>
      <c r="J498" s="546"/>
      <c r="K498" s="293"/>
      <c r="L498" s="294"/>
      <c r="M498" s="561"/>
      <c r="N498" s="561"/>
      <c r="O498" s="560"/>
      <c r="P498" s="560"/>
      <c r="Q498" s="546"/>
      <c r="R498" s="561"/>
      <c r="S498" s="561"/>
      <c r="T498" s="564"/>
      <c r="U498" s="565"/>
      <c r="V498" s="299"/>
      <c r="W498" s="566"/>
      <c r="X498" s="566"/>
      <c r="Y498" s="288"/>
      <c r="Z498" s="288"/>
      <c r="AA498" s="288"/>
      <c r="AB498" s="390"/>
      <c r="AC498" s="196"/>
      <c r="AD498" s="587"/>
      <c r="AE498" s="588" t="s">
        <v>614</v>
      </c>
      <c r="AF498" s="588"/>
      <c r="AG498" s="589"/>
      <c r="AH498" s="590"/>
      <c r="AI498" s="31"/>
      <c r="AJ498" s="31"/>
      <c r="AK498" s="31"/>
      <c r="AL498" s="31"/>
      <c r="AM498" s="31"/>
      <c r="AN498" s="31"/>
      <c r="AO498" s="31"/>
      <c r="AP498" s="31"/>
      <c r="AQ498" s="31"/>
      <c r="AR498" s="31"/>
      <c r="AS498" s="31"/>
      <c r="AT498" s="31"/>
      <c r="AU498" s="31"/>
      <c r="AV498" s="31"/>
      <c r="AW498" s="31"/>
      <c r="AX498" s="31"/>
      <c r="AY498" s="31"/>
      <c r="AZ498" s="31"/>
      <c r="BA498" s="31"/>
      <c r="BB498" s="31"/>
      <c r="BC498" s="31"/>
      <c r="BD498" s="31"/>
      <c r="BE498" s="31"/>
      <c r="BF498" s="31"/>
      <c r="BG498" s="31"/>
      <c r="BH498" s="31"/>
    </row>
    <row r="499" spans="1:60" ht="12.75">
      <c r="A499" s="533"/>
      <c r="B499" s="559"/>
      <c r="C499" s="553"/>
      <c r="D499" s="533"/>
      <c r="E499" s="556"/>
      <c r="F499" s="397"/>
      <c r="G499" s="555"/>
      <c r="H499" s="555"/>
      <c r="I499" s="560"/>
      <c r="J499" s="546"/>
      <c r="K499" s="293"/>
      <c r="L499" s="294"/>
      <c r="M499" s="561"/>
      <c r="N499" s="561"/>
      <c r="O499" s="560"/>
      <c r="P499" s="560"/>
      <c r="Q499" s="546"/>
      <c r="R499" s="561"/>
      <c r="S499" s="561"/>
      <c r="T499" s="564"/>
      <c r="U499" s="565"/>
      <c r="V499" s="299"/>
      <c r="W499" s="566"/>
      <c r="X499" s="566"/>
      <c r="Y499" s="288"/>
      <c r="Z499" s="288"/>
      <c r="AA499" s="288"/>
      <c r="AB499" s="390"/>
      <c r="AC499" s="196"/>
      <c r="AD499" s="587" t="s">
        <v>615</v>
      </c>
      <c r="AE499" s="588" t="s">
        <v>616</v>
      </c>
      <c r="AF499" s="588"/>
      <c r="AG499" s="589"/>
      <c r="AH499" s="590"/>
      <c r="AI499" s="31"/>
      <c r="AJ499" s="31"/>
      <c r="AK499" s="31"/>
      <c r="AL499" s="31"/>
      <c r="AM499" s="31"/>
      <c r="AN499" s="31"/>
      <c r="AO499" s="31"/>
      <c r="AP499" s="31"/>
      <c r="AQ499" s="31"/>
      <c r="AR499" s="31"/>
      <c r="AS499" s="31"/>
      <c r="AT499" s="31"/>
      <c r="AU499" s="31"/>
      <c r="AV499" s="31"/>
      <c r="AW499" s="31"/>
      <c r="AX499" s="31"/>
      <c r="AY499" s="31"/>
      <c r="AZ499" s="31"/>
      <c r="BA499" s="31"/>
      <c r="BB499" s="31"/>
      <c r="BC499" s="31"/>
      <c r="BD499" s="31"/>
      <c r="BE499" s="31"/>
      <c r="BF499" s="31"/>
      <c r="BG499" s="31"/>
      <c r="BH499" s="31"/>
    </row>
    <row r="500" spans="1:60" ht="12.75">
      <c r="A500" s="533"/>
      <c r="B500" s="559"/>
      <c r="C500" s="553"/>
      <c r="D500" s="533"/>
      <c r="E500" s="556"/>
      <c r="F500" s="397"/>
      <c r="G500" s="555"/>
      <c r="H500" s="555"/>
      <c r="I500" s="560"/>
      <c r="J500" s="546"/>
      <c r="K500" s="293"/>
      <c r="L500" s="294"/>
      <c r="M500" s="561"/>
      <c r="N500" s="561"/>
      <c r="O500" s="560"/>
      <c r="P500" s="560"/>
      <c r="Q500" s="546"/>
      <c r="R500" s="561"/>
      <c r="S500" s="561"/>
      <c r="T500" s="564"/>
      <c r="U500" s="565"/>
      <c r="V500" s="299"/>
      <c r="W500" s="566"/>
      <c r="X500" s="566"/>
      <c r="Y500" s="288"/>
      <c r="Z500" s="288"/>
      <c r="AA500" s="288"/>
      <c r="AB500" s="390"/>
      <c r="AC500" s="196"/>
      <c r="AD500" s="587" t="s">
        <v>617</v>
      </c>
      <c r="AE500" s="588" t="s">
        <v>618</v>
      </c>
      <c r="AF500" s="588" t="s">
        <v>619</v>
      </c>
      <c r="AG500" s="589">
        <f>VFHL*19.6%</f>
        <v>4.48252</v>
      </c>
      <c r="AH500" s="590">
        <f>VFHL*13%</f>
        <v>2.9731</v>
      </c>
      <c r="AI500" s="31"/>
      <c r="AJ500" s="31"/>
      <c r="AK500" s="31"/>
      <c r="AL500" s="31"/>
      <c r="AM500" s="31"/>
      <c r="AN500" s="31"/>
      <c r="AO500" s="31"/>
      <c r="AP500" s="31"/>
      <c r="AQ500" s="31"/>
      <c r="AR500" s="31"/>
      <c r="AS500" s="31"/>
      <c r="AT500" s="31"/>
      <c r="AU500" s="31"/>
      <c r="AV500" s="31"/>
      <c r="AW500" s="31"/>
      <c r="AX500" s="31"/>
      <c r="AY500" s="31"/>
      <c r="AZ500" s="31"/>
      <c r="BA500" s="31"/>
      <c r="BB500" s="31"/>
      <c r="BC500" s="31"/>
      <c r="BD500" s="31"/>
      <c r="BE500" s="31"/>
      <c r="BF500" s="31"/>
      <c r="BG500" s="31"/>
      <c r="BH500" s="31"/>
    </row>
    <row r="501" spans="1:60" ht="12.75">
      <c r="A501" s="533"/>
      <c r="B501" s="559"/>
      <c r="C501" s="553"/>
      <c r="D501" s="533"/>
      <c r="E501" s="556"/>
      <c r="F501" s="397"/>
      <c r="G501" s="555"/>
      <c r="H501" s="555"/>
      <c r="I501" s="560"/>
      <c r="J501" s="546"/>
      <c r="K501" s="293"/>
      <c r="L501" s="294"/>
      <c r="M501" s="561"/>
      <c r="N501" s="561"/>
      <c r="O501" s="560"/>
      <c r="P501" s="560"/>
      <c r="Q501" s="546"/>
      <c r="R501" s="561"/>
      <c r="S501" s="561"/>
      <c r="T501" s="564"/>
      <c r="U501" s="565"/>
      <c r="V501" s="299"/>
      <c r="W501" s="566"/>
      <c r="X501" s="566"/>
      <c r="Y501" s="288"/>
      <c r="Z501" s="288"/>
      <c r="AA501" s="288"/>
      <c r="AB501" s="390"/>
      <c r="AC501" s="196"/>
      <c r="AD501" s="587"/>
      <c r="AE501" s="588" t="s">
        <v>620</v>
      </c>
      <c r="AF501" s="592"/>
      <c r="AG501" s="589"/>
      <c r="AH501" s="590"/>
      <c r="AI501" s="31"/>
      <c r="AJ501" s="31"/>
      <c r="AK501" s="31"/>
      <c r="AL501" s="31"/>
      <c r="AM501" s="31"/>
      <c r="AN501" s="31"/>
      <c r="AO501" s="31"/>
      <c r="AP501" s="31"/>
      <c r="AQ501" s="31"/>
      <c r="AR501" s="31"/>
      <c r="AS501" s="31"/>
      <c r="AT501" s="31"/>
      <c r="AU501" s="31"/>
      <c r="AV501" s="31"/>
      <c r="AW501" s="31"/>
      <c r="AX501" s="31"/>
      <c r="AY501" s="31"/>
      <c r="AZ501" s="31"/>
      <c r="BA501" s="31"/>
      <c r="BB501" s="31"/>
      <c r="BC501" s="31"/>
      <c r="BD501" s="31"/>
      <c r="BE501" s="31"/>
      <c r="BF501" s="31"/>
      <c r="BG501" s="31"/>
      <c r="BH501" s="31"/>
    </row>
    <row r="502" spans="1:60" ht="12.75">
      <c r="A502" s="533"/>
      <c r="B502" s="559"/>
      <c r="C502" s="553"/>
      <c r="D502" s="533"/>
      <c r="E502" s="556"/>
      <c r="F502" s="397"/>
      <c r="G502" s="555"/>
      <c r="H502" s="555"/>
      <c r="I502" s="560"/>
      <c r="J502" s="546"/>
      <c r="K502" s="293"/>
      <c r="L502" s="294"/>
      <c r="M502" s="561"/>
      <c r="N502" s="561"/>
      <c r="O502" s="560"/>
      <c r="P502" s="560"/>
      <c r="Q502" s="546"/>
      <c r="R502" s="561"/>
      <c r="S502" s="561"/>
      <c r="T502" s="564"/>
      <c r="U502" s="565"/>
      <c r="V502" s="299"/>
      <c r="W502" s="566"/>
      <c r="X502" s="566"/>
      <c r="Y502" s="288"/>
      <c r="Z502" s="288"/>
      <c r="AA502" s="288"/>
      <c r="AB502" s="390"/>
      <c r="AC502" s="196"/>
      <c r="AD502" s="587"/>
      <c r="AE502" s="588" t="s">
        <v>621</v>
      </c>
      <c r="AF502" s="592"/>
      <c r="AG502" s="589"/>
      <c r="AH502" s="590"/>
      <c r="AI502" s="31"/>
      <c r="AJ502" s="31"/>
      <c r="AK502" s="31"/>
      <c r="AL502" s="31"/>
      <c r="AM502" s="31"/>
      <c r="AN502" s="31"/>
      <c r="AO502" s="31"/>
      <c r="AP502" s="31"/>
      <c r="AQ502" s="31"/>
      <c r="AR502" s="31"/>
      <c r="AS502" s="31"/>
      <c r="AT502" s="31"/>
      <c r="AU502" s="31"/>
      <c r="AV502" s="31"/>
      <c r="AW502" s="31"/>
      <c r="AX502" s="31"/>
      <c r="AY502" s="31"/>
      <c r="AZ502" s="31"/>
      <c r="BA502" s="31"/>
      <c r="BB502" s="31"/>
      <c r="BC502" s="31"/>
      <c r="BD502" s="31"/>
      <c r="BE502" s="31"/>
      <c r="BF502" s="31"/>
      <c r="BG502" s="31"/>
      <c r="BH502" s="31"/>
    </row>
    <row r="503" spans="1:60" ht="12.75">
      <c r="A503" s="533"/>
      <c r="B503" s="559"/>
      <c r="C503" s="553"/>
      <c r="D503" s="533"/>
      <c r="E503" s="556"/>
      <c r="F503" s="397"/>
      <c r="G503" s="555"/>
      <c r="H503" s="555"/>
      <c r="I503" s="560"/>
      <c r="J503" s="546"/>
      <c r="K503" s="293"/>
      <c r="L503" s="294"/>
      <c r="M503" s="561"/>
      <c r="N503" s="561"/>
      <c r="O503" s="560"/>
      <c r="P503" s="560"/>
      <c r="Q503" s="546"/>
      <c r="R503" s="561"/>
      <c r="S503" s="561"/>
      <c r="T503" s="564"/>
      <c r="U503" s="565"/>
      <c r="V503" s="299"/>
      <c r="W503" s="566"/>
      <c r="X503" s="566"/>
      <c r="Y503" s="288"/>
      <c r="Z503" s="288"/>
      <c r="AA503" s="288"/>
      <c r="AB503" s="390"/>
      <c r="AC503" s="196"/>
      <c r="AD503" s="587"/>
      <c r="AE503" s="588" t="s">
        <v>622</v>
      </c>
      <c r="AF503" s="592"/>
      <c r="AG503" s="589"/>
      <c r="AH503" s="590"/>
      <c r="AI503" s="31"/>
      <c r="AJ503" s="31"/>
      <c r="AK503" s="31"/>
      <c r="AL503" s="31"/>
      <c r="AM503" s="31"/>
      <c r="AN503" s="31"/>
      <c r="AO503" s="31"/>
      <c r="AP503" s="31"/>
      <c r="AQ503" s="31"/>
      <c r="AR503" s="31"/>
      <c r="AS503" s="31"/>
      <c r="AT503" s="31"/>
      <c r="AU503" s="31"/>
      <c r="AV503" s="31"/>
      <c r="AW503" s="31"/>
      <c r="AX503" s="31"/>
      <c r="AY503" s="31"/>
      <c r="AZ503" s="31"/>
      <c r="BA503" s="31"/>
      <c r="BB503" s="31"/>
      <c r="BC503" s="31"/>
      <c r="BD503" s="31"/>
      <c r="BE503" s="31"/>
      <c r="BF503" s="31"/>
      <c r="BG503" s="31"/>
      <c r="BH503" s="31"/>
    </row>
    <row r="504" spans="1:60" ht="12.75">
      <c r="A504" s="533"/>
      <c r="B504" s="559"/>
      <c r="C504" s="553"/>
      <c r="D504" s="533"/>
      <c r="E504" s="556"/>
      <c r="F504" s="397"/>
      <c r="G504" s="555"/>
      <c r="H504" s="555"/>
      <c r="I504" s="560"/>
      <c r="J504" s="546"/>
      <c r="K504" s="293"/>
      <c r="L504" s="294"/>
      <c r="M504" s="561"/>
      <c r="N504" s="561"/>
      <c r="O504" s="560"/>
      <c r="P504" s="560"/>
      <c r="Q504" s="546"/>
      <c r="R504" s="561"/>
      <c r="S504" s="561"/>
      <c r="T504" s="564"/>
      <c r="U504" s="565"/>
      <c r="V504" s="299"/>
      <c r="W504" s="566"/>
      <c r="X504" s="566"/>
      <c r="Y504" s="288"/>
      <c r="Z504" s="288"/>
      <c r="AA504" s="288"/>
      <c r="AB504" s="390"/>
      <c r="AC504" s="196"/>
      <c r="AD504" s="587"/>
      <c r="AE504" s="588" t="s">
        <v>623</v>
      </c>
      <c r="AF504" s="592"/>
      <c r="AG504" s="589"/>
      <c r="AH504" s="590"/>
      <c r="AI504" s="31"/>
      <c r="AJ504" s="31"/>
      <c r="AK504" s="31"/>
      <c r="AL504" s="31"/>
      <c r="AM504" s="31"/>
      <c r="AN504" s="31"/>
      <c r="AO504" s="31"/>
      <c r="AP504" s="31"/>
      <c r="AQ504" s="31"/>
      <c r="AR504" s="31"/>
      <c r="AS504" s="31"/>
      <c r="AT504" s="31"/>
      <c r="AU504" s="31"/>
      <c r="AV504" s="31"/>
      <c r="AW504" s="31"/>
      <c r="AX504" s="31"/>
      <c r="AY504" s="31"/>
      <c r="AZ504" s="31"/>
      <c r="BA504" s="31"/>
      <c r="BB504" s="31"/>
      <c r="BC504" s="31"/>
      <c r="BD504" s="31"/>
      <c r="BE504" s="31"/>
      <c r="BF504" s="31"/>
      <c r="BG504" s="31"/>
      <c r="BH504" s="31"/>
    </row>
    <row r="505" spans="1:60" ht="12.75">
      <c r="A505" s="533"/>
      <c r="B505" s="559"/>
      <c r="C505" s="553"/>
      <c r="D505" s="533"/>
      <c r="E505" s="556"/>
      <c r="F505" s="397"/>
      <c r="G505" s="555"/>
      <c r="H505" s="555"/>
      <c r="I505" s="560"/>
      <c r="J505" s="546"/>
      <c r="K505" s="293"/>
      <c r="L505" s="294"/>
      <c r="M505" s="561"/>
      <c r="N505" s="561"/>
      <c r="O505" s="560"/>
      <c r="P505" s="560"/>
      <c r="Q505" s="546"/>
      <c r="R505" s="561"/>
      <c r="S505" s="561"/>
      <c r="T505" s="564"/>
      <c r="U505" s="565"/>
      <c r="V505" s="299"/>
      <c r="W505" s="566"/>
      <c r="X505" s="566"/>
      <c r="Y505" s="288"/>
      <c r="Z505" s="288"/>
      <c r="AA505" s="288"/>
      <c r="AB505" s="390"/>
      <c r="AC505" s="196"/>
      <c r="AD505" s="587"/>
      <c r="AE505" s="588" t="s">
        <v>624</v>
      </c>
      <c r="AF505" s="592"/>
      <c r="AG505" s="589"/>
      <c r="AH505" s="590"/>
      <c r="AI505" s="31"/>
      <c r="AJ505" s="31"/>
      <c r="AK505" s="31"/>
      <c r="AL505" s="31"/>
      <c r="AM505" s="31"/>
      <c r="AN505" s="31"/>
      <c r="AO505" s="31"/>
      <c r="AP505" s="31"/>
      <c r="AQ505" s="31"/>
      <c r="AR505" s="31"/>
      <c r="AS505" s="31"/>
      <c r="AT505" s="31"/>
      <c r="AU505" s="31"/>
      <c r="AV505" s="31"/>
      <c r="AW505" s="31"/>
      <c r="AX505" s="31"/>
      <c r="AY505" s="31"/>
      <c r="AZ505" s="31"/>
      <c r="BA505" s="31"/>
      <c r="BB505" s="31"/>
      <c r="BC505" s="31"/>
      <c r="BD505" s="31"/>
      <c r="BE505" s="31"/>
      <c r="BF505" s="31"/>
      <c r="BG505" s="31"/>
      <c r="BH505" s="31"/>
    </row>
    <row r="506" spans="1:60" ht="12.75">
      <c r="A506" s="533"/>
      <c r="B506" s="559"/>
      <c r="C506" s="553"/>
      <c r="D506" s="533"/>
      <c r="E506" s="556"/>
      <c r="F506" s="397"/>
      <c r="G506" s="555"/>
      <c r="H506" s="555"/>
      <c r="I506" s="560"/>
      <c r="J506" s="546"/>
      <c r="K506" s="293"/>
      <c r="L506" s="294"/>
      <c r="M506" s="561"/>
      <c r="N506" s="561"/>
      <c r="O506" s="560"/>
      <c r="P506" s="560"/>
      <c r="Q506" s="546"/>
      <c r="R506" s="561"/>
      <c r="S506" s="561"/>
      <c r="T506" s="564"/>
      <c r="U506" s="565"/>
      <c r="V506" s="299"/>
      <c r="W506" s="566"/>
      <c r="X506" s="566"/>
      <c r="Y506" s="288"/>
      <c r="Z506" s="288"/>
      <c r="AA506" s="288"/>
      <c r="AB506" s="390"/>
      <c r="AC506" s="196"/>
      <c r="AD506" s="587"/>
      <c r="AE506" s="588" t="s">
        <v>625</v>
      </c>
      <c r="AF506" s="592"/>
      <c r="AG506" s="589"/>
      <c r="AH506" s="590"/>
      <c r="AI506" s="31"/>
      <c r="AJ506" s="31"/>
      <c r="AK506" s="31"/>
      <c r="AL506" s="31"/>
      <c r="AM506" s="31"/>
      <c r="AN506" s="31"/>
      <c r="AO506" s="31"/>
      <c r="AP506" s="31"/>
      <c r="AQ506" s="31"/>
      <c r="AR506" s="31"/>
      <c r="AS506" s="31"/>
      <c r="AT506" s="31"/>
      <c r="AU506" s="31"/>
      <c r="AV506" s="31"/>
      <c r="AW506" s="31"/>
      <c r="AX506" s="31"/>
      <c r="AY506" s="31"/>
      <c r="AZ506" s="31"/>
      <c r="BA506" s="31"/>
      <c r="BB506" s="31"/>
      <c r="BC506" s="31"/>
      <c r="BD506" s="31"/>
      <c r="BE506" s="31"/>
      <c r="BF506" s="31"/>
      <c r="BG506" s="31"/>
      <c r="BH506" s="31"/>
    </row>
    <row r="507" spans="1:60" ht="12.75">
      <c r="A507" s="533"/>
      <c r="B507" s="559"/>
      <c r="C507" s="553"/>
      <c r="D507" s="533"/>
      <c r="E507" s="556"/>
      <c r="F507" s="397"/>
      <c r="G507" s="555"/>
      <c r="H507" s="555"/>
      <c r="I507" s="560"/>
      <c r="J507" s="546"/>
      <c r="K507" s="293"/>
      <c r="L507" s="294"/>
      <c r="M507" s="561"/>
      <c r="N507" s="561"/>
      <c r="O507" s="560"/>
      <c r="P507" s="560"/>
      <c r="Q507" s="546"/>
      <c r="R507" s="561"/>
      <c r="S507" s="561"/>
      <c r="T507" s="564"/>
      <c r="U507" s="565"/>
      <c r="V507" s="299"/>
      <c r="W507" s="566"/>
      <c r="X507" s="566"/>
      <c r="Y507" s="288"/>
      <c r="Z507" s="288"/>
      <c r="AA507" s="288"/>
      <c r="AB507" s="390"/>
      <c r="AC507" s="196"/>
      <c r="AD507" s="587"/>
      <c r="AE507" s="588" t="s">
        <v>626</v>
      </c>
      <c r="AF507" s="592"/>
      <c r="AG507" s="589"/>
      <c r="AH507" s="590"/>
      <c r="AI507" s="31"/>
      <c r="AJ507" s="31"/>
      <c r="AK507" s="31"/>
      <c r="AL507" s="31"/>
      <c r="AM507" s="31"/>
      <c r="AN507" s="31"/>
      <c r="AO507" s="31"/>
      <c r="AP507" s="31"/>
      <c r="AQ507" s="31"/>
      <c r="AR507" s="31"/>
      <c r="AS507" s="31"/>
      <c r="AT507" s="31"/>
      <c r="AU507" s="31"/>
      <c r="AV507" s="31"/>
      <c r="AW507" s="31"/>
      <c r="AX507" s="31"/>
      <c r="AY507" s="31"/>
      <c r="AZ507" s="31"/>
      <c r="BA507" s="31"/>
      <c r="BB507" s="31"/>
      <c r="BC507" s="31"/>
      <c r="BD507" s="31"/>
      <c r="BE507" s="31"/>
      <c r="BF507" s="31"/>
      <c r="BG507" s="31"/>
      <c r="BH507" s="31"/>
    </row>
    <row r="508" spans="1:60" ht="12.75">
      <c r="A508" s="533"/>
      <c r="B508" s="559"/>
      <c r="C508" s="553"/>
      <c r="D508" s="533"/>
      <c r="E508" s="556"/>
      <c r="F508" s="397"/>
      <c r="G508" s="555"/>
      <c r="H508" s="555"/>
      <c r="I508" s="560"/>
      <c r="J508" s="546"/>
      <c r="K508" s="293"/>
      <c r="L508" s="294"/>
      <c r="M508" s="561"/>
      <c r="N508" s="561"/>
      <c r="O508" s="560"/>
      <c r="P508" s="560"/>
      <c r="Q508" s="546"/>
      <c r="R508" s="561"/>
      <c r="S508" s="561"/>
      <c r="T508" s="564"/>
      <c r="U508" s="565"/>
      <c r="V508" s="299"/>
      <c r="W508" s="566"/>
      <c r="X508" s="566"/>
      <c r="Y508" s="288"/>
      <c r="Z508" s="288"/>
      <c r="AA508" s="288"/>
      <c r="AB508" s="390"/>
      <c r="AC508" s="196"/>
      <c r="AD508" s="587"/>
      <c r="AE508" s="588" t="s">
        <v>627</v>
      </c>
      <c r="AF508" s="592"/>
      <c r="AG508" s="589"/>
      <c r="AH508" s="590"/>
      <c r="AI508" s="31"/>
      <c r="AJ508" s="31"/>
      <c r="AK508" s="31"/>
      <c r="AL508" s="31"/>
      <c r="AM508" s="31"/>
      <c r="AN508" s="31"/>
      <c r="AO508" s="31"/>
      <c r="AP508" s="31"/>
      <c r="AQ508" s="31"/>
      <c r="AR508" s="31"/>
      <c r="AS508" s="31"/>
      <c r="AT508" s="31"/>
      <c r="AU508" s="31"/>
      <c r="AV508" s="31"/>
      <c r="AW508" s="31"/>
      <c r="AX508" s="31"/>
      <c r="AY508" s="31"/>
      <c r="AZ508" s="31"/>
      <c r="BA508" s="31"/>
      <c r="BB508" s="31"/>
      <c r="BC508" s="31"/>
      <c r="BD508" s="31"/>
      <c r="BE508" s="31"/>
      <c r="BF508" s="31"/>
      <c r="BG508" s="31"/>
      <c r="BH508" s="31"/>
    </row>
    <row r="509" spans="1:60" ht="12.75">
      <c r="A509" s="533"/>
      <c r="B509" s="559"/>
      <c r="C509" s="553"/>
      <c r="D509" s="533"/>
      <c r="E509" s="556"/>
      <c r="F509" s="397"/>
      <c r="G509" s="555"/>
      <c r="H509" s="555"/>
      <c r="I509" s="560"/>
      <c r="J509" s="546"/>
      <c r="K509" s="293"/>
      <c r="L509" s="294"/>
      <c r="M509" s="561"/>
      <c r="N509" s="561"/>
      <c r="O509" s="560"/>
      <c r="P509" s="560"/>
      <c r="Q509" s="546"/>
      <c r="R509" s="561"/>
      <c r="S509" s="561"/>
      <c r="T509" s="564"/>
      <c r="U509" s="565"/>
      <c r="V509" s="299"/>
      <c r="W509" s="566"/>
      <c r="X509" s="566"/>
      <c r="Y509" s="288"/>
      <c r="Z509" s="288"/>
      <c r="AA509" s="288"/>
      <c r="AB509" s="390"/>
      <c r="AC509" s="196"/>
      <c r="AD509" s="583"/>
      <c r="AE509" s="574" t="s">
        <v>628</v>
      </c>
      <c r="AF509" s="584"/>
      <c r="AG509" s="573"/>
      <c r="AH509" s="585"/>
      <c r="AI509" s="31"/>
      <c r="AJ509" s="31"/>
      <c r="AK509" s="31"/>
      <c r="AL509" s="31"/>
      <c r="AM509" s="31"/>
      <c r="AN509" s="31"/>
      <c r="AO509" s="31"/>
      <c r="AP509" s="31"/>
      <c r="AQ509" s="31"/>
      <c r="AR509" s="31"/>
      <c r="AS509" s="31"/>
      <c r="AT509" s="31"/>
      <c r="AU509" s="31"/>
      <c r="AV509" s="31"/>
      <c r="AW509" s="31"/>
      <c r="AX509" s="31"/>
      <c r="AY509" s="31"/>
      <c r="AZ509" s="31"/>
      <c r="BA509" s="31"/>
      <c r="BB509" s="31"/>
      <c r="BC509" s="31"/>
      <c r="BD509" s="31"/>
      <c r="BE509" s="31"/>
      <c r="BF509" s="31"/>
      <c r="BG509" s="31"/>
      <c r="BH509" s="31"/>
    </row>
    <row r="510" spans="1:60" ht="12.75">
      <c r="A510" s="533"/>
      <c r="B510" s="559"/>
      <c r="C510" s="553"/>
      <c r="D510" s="533"/>
      <c r="E510" s="556"/>
      <c r="F510" s="397"/>
      <c r="G510" s="555"/>
      <c r="H510" s="555"/>
      <c r="I510" s="560"/>
      <c r="J510" s="546"/>
      <c r="K510" s="293"/>
      <c r="L510" s="294"/>
      <c r="M510" s="561"/>
      <c r="N510" s="561"/>
      <c r="O510" s="560"/>
      <c r="P510" s="560"/>
      <c r="Q510" s="546"/>
      <c r="R510" s="561"/>
      <c r="S510" s="561"/>
      <c r="T510" s="564"/>
      <c r="U510" s="565"/>
      <c r="V510" s="299"/>
      <c r="W510" s="566"/>
      <c r="X510" s="566"/>
      <c r="Y510" s="288"/>
      <c r="Z510" s="288"/>
      <c r="AA510" s="288"/>
      <c r="AB510" s="390"/>
      <c r="AC510" s="196"/>
      <c r="AD510" s="581" t="s">
        <v>629</v>
      </c>
      <c r="AE510" s="600" t="s">
        <v>630</v>
      </c>
      <c r="AF510" s="572" t="s">
        <v>631</v>
      </c>
      <c r="AG510" s="571">
        <f>VFGO*19.6%</f>
        <v>7.5166</v>
      </c>
      <c r="AH510" s="582">
        <f>VFGO*13%</f>
        <v>4.9855</v>
      </c>
      <c r="AI510" s="31"/>
      <c r="AJ510" s="31"/>
      <c r="AK510" s="31"/>
      <c r="AL510" s="31"/>
      <c r="AM510" s="31"/>
      <c r="AN510" s="31"/>
      <c r="AO510" s="31"/>
      <c r="AP510" s="31"/>
      <c r="AQ510" s="31"/>
      <c r="AR510" s="31"/>
      <c r="AS510" s="31"/>
      <c r="AT510" s="31"/>
      <c r="AU510" s="31"/>
      <c r="AV510" s="31"/>
      <c r="AW510" s="31"/>
      <c r="AX510" s="31"/>
      <c r="AY510" s="31"/>
      <c r="AZ510" s="31"/>
      <c r="BA510" s="31"/>
      <c r="BB510" s="31"/>
      <c r="BC510" s="31"/>
      <c r="BD510" s="31"/>
      <c r="BE510" s="31"/>
      <c r="BF510" s="31"/>
      <c r="BG510" s="31"/>
      <c r="BH510" s="31"/>
    </row>
    <row r="511" spans="1:60" ht="12.75">
      <c r="A511" s="533"/>
      <c r="B511" s="559"/>
      <c r="C511" s="553"/>
      <c r="D511" s="533"/>
      <c r="E511" s="556"/>
      <c r="F511" s="397"/>
      <c r="G511" s="555"/>
      <c r="H511" s="555"/>
      <c r="I511" s="560"/>
      <c r="J511" s="546"/>
      <c r="K511" s="293"/>
      <c r="L511" s="294"/>
      <c r="M511" s="561"/>
      <c r="N511" s="561"/>
      <c r="O511" s="560"/>
      <c r="P511" s="560"/>
      <c r="Q511" s="546"/>
      <c r="R511" s="561"/>
      <c r="S511" s="561"/>
      <c r="T511" s="564"/>
      <c r="U511" s="565"/>
      <c r="V511" s="299"/>
      <c r="W511" s="566"/>
      <c r="X511" s="566"/>
      <c r="Y511" s="288"/>
      <c r="Z511" s="288"/>
      <c r="AA511" s="288"/>
      <c r="AB511" s="390"/>
      <c r="AC511" s="196"/>
      <c r="AD511" s="583" t="s">
        <v>632</v>
      </c>
      <c r="AE511" s="601"/>
      <c r="AF511" s="584"/>
      <c r="AG511" s="573"/>
      <c r="AH511" s="585"/>
      <c r="AI511" s="31"/>
      <c r="AJ511" s="31"/>
      <c r="AK511" s="31"/>
      <c r="AL511" s="31"/>
      <c r="AM511" s="31"/>
      <c r="AN511" s="31"/>
      <c r="AO511" s="31"/>
      <c r="AP511" s="31"/>
      <c r="AQ511" s="31"/>
      <c r="AR511" s="31"/>
      <c r="AS511" s="31"/>
      <c r="AT511" s="31"/>
      <c r="AU511" s="31"/>
      <c r="AV511" s="31"/>
      <c r="AW511" s="31"/>
      <c r="AX511" s="31"/>
      <c r="AY511" s="31"/>
      <c r="AZ511" s="31"/>
      <c r="BA511" s="31"/>
      <c r="BB511" s="31"/>
      <c r="BC511" s="31"/>
      <c r="BD511" s="31"/>
      <c r="BE511" s="31"/>
      <c r="BF511" s="31"/>
      <c r="BG511" s="31"/>
      <c r="BH511" s="31"/>
    </row>
    <row r="512" spans="1:60" ht="12.75">
      <c r="A512" s="533"/>
      <c r="B512" s="559"/>
      <c r="C512" s="553"/>
      <c r="D512" s="533"/>
      <c r="E512" s="602"/>
      <c r="F512" s="397"/>
      <c r="G512" s="555"/>
      <c r="H512" s="555"/>
      <c r="I512" s="560"/>
      <c r="J512" s="546"/>
      <c r="K512" s="603"/>
      <c r="L512" s="294"/>
      <c r="M512" s="561"/>
      <c r="N512" s="561"/>
      <c r="O512" s="560"/>
      <c r="P512" s="560"/>
      <c r="Q512" s="546"/>
      <c r="R512" s="184"/>
      <c r="S512" s="561"/>
      <c r="T512" s="564"/>
      <c r="U512" s="565"/>
      <c r="V512" s="299"/>
      <c r="W512" s="566"/>
      <c r="X512" s="566"/>
      <c r="Y512" s="288"/>
      <c r="Z512" s="288"/>
      <c r="AA512" s="288"/>
      <c r="AB512" s="390"/>
      <c r="AC512" s="196"/>
      <c r="AD512" s="604"/>
      <c r="AE512" s="605"/>
      <c r="AF512" s="606"/>
      <c r="AG512" s="607"/>
      <c r="AH512" s="607"/>
      <c r="AI512" s="31"/>
      <c r="AJ512" s="31"/>
      <c r="AK512" s="31"/>
      <c r="AL512" s="31"/>
      <c r="AM512" s="31"/>
      <c r="AN512" s="31"/>
      <c r="AO512" s="31"/>
      <c r="AP512" s="31"/>
      <c r="AQ512" s="31"/>
      <c r="AR512" s="31"/>
      <c r="AS512" s="31"/>
      <c r="AT512" s="31"/>
      <c r="AU512" s="31"/>
      <c r="AV512" s="31"/>
      <c r="AW512" s="31"/>
      <c r="AX512" s="31"/>
      <c r="AY512" s="31"/>
      <c r="AZ512" s="31"/>
      <c r="BA512" s="31"/>
      <c r="BB512" s="31"/>
      <c r="BC512" s="31"/>
      <c r="BD512" s="31"/>
      <c r="BE512" s="31"/>
      <c r="BF512" s="31"/>
      <c r="BG512" s="31"/>
      <c r="BH512" s="31"/>
    </row>
    <row r="513" spans="1:60" ht="12.75">
      <c r="A513" s="533"/>
      <c r="B513" s="608"/>
      <c r="C513" s="608"/>
      <c r="D513" s="245"/>
      <c r="E513" s="554"/>
      <c r="F513" s="31"/>
      <c r="G513" s="238"/>
      <c r="H513" s="238"/>
      <c r="I513" s="31"/>
      <c r="J513" s="31"/>
      <c r="K513" s="239"/>
      <c r="L513" s="239"/>
      <c r="M513" s="31"/>
      <c r="N513" s="31"/>
      <c r="O513" s="112"/>
      <c r="P513" s="31"/>
      <c r="Q513" s="31"/>
      <c r="R513" s="134"/>
      <c r="S513" s="561"/>
      <c r="T513" s="564"/>
      <c r="U513" s="565"/>
      <c r="V513" s="299"/>
      <c r="W513" s="566"/>
      <c r="X513" s="566"/>
      <c r="Y513" s="288"/>
      <c r="Z513" s="288"/>
      <c r="AA513" s="288"/>
      <c r="AB513" s="390"/>
      <c r="AC513" s="196"/>
      <c r="AD513" s="171"/>
      <c r="AE513" s="112"/>
      <c r="AF513" s="172"/>
      <c r="AG513" s="511"/>
      <c r="AH513" s="511"/>
      <c r="AI513" s="31"/>
      <c r="AJ513" s="31"/>
      <c r="AK513" s="31"/>
      <c r="AL513" s="31"/>
      <c r="AM513" s="31"/>
      <c r="AN513" s="31"/>
      <c r="AO513" s="31"/>
      <c r="AP513" s="31"/>
      <c r="AQ513" s="31"/>
      <c r="AR513" s="31"/>
      <c r="AS513" s="31"/>
      <c r="AT513" s="31"/>
      <c r="AU513" s="31"/>
      <c r="AV513" s="31"/>
      <c r="AW513" s="31"/>
      <c r="AX513" s="31"/>
      <c r="AY513" s="31"/>
      <c r="AZ513" s="31"/>
      <c r="BA513" s="31"/>
      <c r="BB513" s="31"/>
      <c r="BC513" s="31"/>
      <c r="BD513" s="31"/>
      <c r="BE513" s="31"/>
      <c r="BF513" s="31"/>
      <c r="BG513" s="31"/>
      <c r="BH513" s="31"/>
    </row>
    <row r="514" spans="1:60" ht="12.75">
      <c r="A514" s="533"/>
      <c r="B514" s="608"/>
      <c r="C514" s="608"/>
      <c r="D514" s="245"/>
      <c r="E514" s="554"/>
      <c r="F514" s="31"/>
      <c r="G514" s="238"/>
      <c r="H514" s="238"/>
      <c r="I514" s="31"/>
      <c r="J514" s="31"/>
      <c r="K514" s="239"/>
      <c r="L514" s="239"/>
      <c r="M514" s="31"/>
      <c r="N514" s="31"/>
      <c r="O514" s="112"/>
      <c r="P514" s="31"/>
      <c r="Q514" s="31"/>
      <c r="R514" s="134"/>
      <c r="S514" s="561"/>
      <c r="T514" s="562"/>
      <c r="U514" s="563"/>
      <c r="V514" s="151"/>
      <c r="W514" s="152"/>
      <c r="X514" s="152"/>
      <c r="Y514" s="141"/>
      <c r="Z514" s="141"/>
      <c r="AA514" s="288"/>
      <c r="AB514" s="390"/>
      <c r="AC514" s="196"/>
      <c r="AD514" s="171"/>
      <c r="AE514" s="112"/>
      <c r="AF514" s="172"/>
      <c r="AG514" s="511"/>
      <c r="AH514" s="511"/>
      <c r="AI514" s="31"/>
      <c r="AJ514" s="31"/>
      <c r="AK514" s="31"/>
      <c r="AL514" s="31"/>
      <c r="AM514" s="31"/>
      <c r="AN514" s="31"/>
      <c r="AO514" s="31"/>
      <c r="AP514" s="31"/>
      <c r="AQ514" s="31"/>
      <c r="AR514" s="31"/>
      <c r="AS514" s="31"/>
      <c r="AT514" s="31"/>
      <c r="AU514" s="31"/>
      <c r="AV514" s="31"/>
      <c r="AW514" s="31"/>
      <c r="AX514" s="31"/>
      <c r="AY514" s="31"/>
      <c r="AZ514" s="31"/>
      <c r="BA514" s="31"/>
      <c r="BB514" s="31"/>
      <c r="BC514" s="31"/>
      <c r="BD514" s="31"/>
      <c r="BE514" s="31"/>
      <c r="BF514" s="31"/>
      <c r="BG514" s="31"/>
      <c r="BH514" s="31"/>
    </row>
    <row r="515" spans="1:60" ht="12.75">
      <c r="A515" s="533"/>
      <c r="B515" s="608"/>
      <c r="C515" s="608"/>
      <c r="D515" s="245"/>
      <c r="E515" s="554"/>
      <c r="F515" s="31"/>
      <c r="G515" s="238"/>
      <c r="H515" s="238"/>
      <c r="I515" s="31"/>
      <c r="J515" s="31"/>
      <c r="K515" s="239"/>
      <c r="L515" s="239"/>
      <c r="M515" s="31"/>
      <c r="N515" s="31"/>
      <c r="O515" s="112"/>
      <c r="P515" s="31"/>
      <c r="Q515" s="31"/>
      <c r="R515" s="134"/>
      <c r="S515" s="561"/>
      <c r="T515" s="609"/>
      <c r="U515" s="610"/>
      <c r="AA515" s="288"/>
      <c r="AB515" s="390"/>
      <c r="AC515" s="196"/>
      <c r="AD515" s="171"/>
      <c r="AE515" s="112"/>
      <c r="AF515" s="172"/>
      <c r="AG515" s="511"/>
      <c r="AH515" s="511"/>
      <c r="AI515" s="31"/>
      <c r="AJ515" s="31"/>
      <c r="AK515" s="31"/>
      <c r="AL515" s="31"/>
      <c r="AM515" s="31"/>
      <c r="AN515" s="31"/>
      <c r="AO515" s="31"/>
      <c r="AP515" s="31"/>
      <c r="AQ515" s="31"/>
      <c r="AR515" s="31"/>
      <c r="AS515" s="31"/>
      <c r="AT515" s="31"/>
      <c r="AU515" s="31"/>
      <c r="AV515" s="31"/>
      <c r="AW515" s="31"/>
      <c r="AX515" s="31"/>
      <c r="AY515" s="31"/>
      <c r="AZ515" s="31"/>
      <c r="BA515" s="31"/>
      <c r="BB515" s="31"/>
      <c r="BC515" s="31"/>
      <c r="BD515" s="31"/>
      <c r="BE515" s="31"/>
      <c r="BF515" s="31"/>
      <c r="BG515" s="31"/>
      <c r="BH515" s="31"/>
    </row>
    <row r="516" spans="1:60" ht="12.75">
      <c r="A516" s="245"/>
      <c r="B516" s="608"/>
      <c r="C516" s="608"/>
      <c r="D516" s="245"/>
      <c r="E516" s="554"/>
      <c r="F516" s="31"/>
      <c r="G516" s="238"/>
      <c r="H516" s="238"/>
      <c r="I516" s="31"/>
      <c r="J516" s="31"/>
      <c r="K516" s="239"/>
      <c r="L516" s="239"/>
      <c r="M516" s="31"/>
      <c r="N516" s="31"/>
      <c r="O516" s="112"/>
      <c r="P516" s="31"/>
      <c r="Q516" s="31"/>
      <c r="R516" s="134"/>
      <c r="S516" s="561"/>
      <c r="T516" s="609"/>
      <c r="U516" s="610"/>
      <c r="AA516" s="288"/>
      <c r="AB516" s="390"/>
      <c r="AC516" s="196"/>
      <c r="AD516" s="171"/>
      <c r="AE516" s="112"/>
      <c r="AF516" s="172"/>
      <c r="AG516" s="511"/>
      <c r="AH516" s="511"/>
      <c r="AI516" s="31"/>
      <c r="AJ516" s="31"/>
      <c r="AK516" s="31"/>
      <c r="AL516" s="31"/>
      <c r="AM516" s="31"/>
      <c r="AN516" s="31"/>
      <c r="AO516" s="31"/>
      <c r="AP516" s="31"/>
      <c r="AQ516" s="31"/>
      <c r="AR516" s="31"/>
      <c r="AS516" s="31"/>
      <c r="AT516" s="31"/>
      <c r="AU516" s="31"/>
      <c r="AV516" s="31"/>
      <c r="AW516" s="31"/>
      <c r="AX516" s="31"/>
      <c r="AY516" s="31"/>
      <c r="AZ516" s="31"/>
      <c r="BA516" s="31"/>
      <c r="BB516" s="31"/>
      <c r="BC516" s="31"/>
      <c r="BD516" s="31"/>
      <c r="BE516" s="31"/>
      <c r="BF516" s="31"/>
      <c r="BG516" s="31"/>
      <c r="BH516" s="31"/>
    </row>
    <row r="517" spans="1:60" ht="12.75">
      <c r="A517" s="245"/>
      <c r="B517" s="608"/>
      <c r="C517" s="608"/>
      <c r="D517" s="245"/>
      <c r="E517" s="554"/>
      <c r="F517" s="31"/>
      <c r="G517" s="238"/>
      <c r="H517" s="238"/>
      <c r="I517" s="31"/>
      <c r="J517" s="31"/>
      <c r="K517" s="239"/>
      <c r="L517" s="239"/>
      <c r="M517" s="31"/>
      <c r="N517" s="31"/>
      <c r="O517" s="112"/>
      <c r="P517" s="31"/>
      <c r="Q517" s="31"/>
      <c r="R517" s="134"/>
      <c r="S517" s="184"/>
      <c r="T517" s="609"/>
      <c r="U517" s="610"/>
      <c r="AA517" s="141"/>
      <c r="AB517" s="19"/>
      <c r="AC517" s="196"/>
      <c r="AD517" s="171"/>
      <c r="AE517" s="112"/>
      <c r="AF517" s="172"/>
      <c r="AG517" s="511"/>
      <c r="AH517" s="511"/>
      <c r="AI517" s="31"/>
      <c r="AJ517" s="31"/>
      <c r="AK517" s="31"/>
      <c r="AL517" s="31"/>
      <c r="AM517" s="31"/>
      <c r="AN517" s="31"/>
      <c r="AO517" s="31"/>
      <c r="AP517" s="31"/>
      <c r="AQ517" s="31"/>
      <c r="AR517" s="31"/>
      <c r="AS517" s="31"/>
      <c r="AT517" s="31"/>
      <c r="AU517" s="31"/>
      <c r="AV517" s="31"/>
      <c r="AW517" s="31"/>
      <c r="AX517" s="31"/>
      <c r="AY517" s="31"/>
      <c r="AZ517" s="31"/>
      <c r="BA517" s="31"/>
      <c r="BB517" s="31"/>
      <c r="BC517" s="31"/>
      <c r="BD517" s="31"/>
      <c r="BE517" s="31"/>
      <c r="BF517" s="31"/>
      <c r="BG517" s="31"/>
      <c r="BH517" s="31"/>
    </row>
    <row r="518" spans="1:60" ht="12.75">
      <c r="A518" s="245"/>
      <c r="B518" s="608"/>
      <c r="C518" s="608"/>
      <c r="D518" s="245"/>
      <c r="E518" s="554"/>
      <c r="F518" s="31"/>
      <c r="G518" s="238"/>
      <c r="H518" s="238"/>
      <c r="I518" s="31"/>
      <c r="J518" s="31"/>
      <c r="K518" s="239"/>
      <c r="L518" s="239"/>
      <c r="M518" s="31"/>
      <c r="N518" s="31"/>
      <c r="O518" s="112"/>
      <c r="P518" s="31"/>
      <c r="Q518" s="31"/>
      <c r="R518" s="134"/>
      <c r="S518" s="134"/>
      <c r="T518" s="609"/>
      <c r="U518" s="610"/>
      <c r="AC518" s="196"/>
      <c r="AD518" s="171"/>
      <c r="AE518" s="112"/>
      <c r="AF518" s="135"/>
      <c r="AG518" s="511"/>
      <c r="AH518" s="511"/>
      <c r="AI518" s="31"/>
      <c r="AJ518" s="31"/>
      <c r="AK518" s="31"/>
      <c r="AL518" s="31"/>
      <c r="AM518" s="31"/>
      <c r="AN518" s="31"/>
      <c r="AO518" s="31"/>
      <c r="AP518" s="31"/>
      <c r="AQ518" s="31"/>
      <c r="AR518" s="31"/>
      <c r="AS518" s="31"/>
      <c r="AT518" s="31"/>
      <c r="AU518" s="31"/>
      <c r="AV518" s="31"/>
      <c r="AW518" s="31"/>
      <c r="AX518" s="31"/>
      <c r="AY518" s="31"/>
      <c r="AZ518" s="31"/>
      <c r="BA518" s="31"/>
      <c r="BB518" s="31"/>
      <c r="BC518" s="31"/>
      <c r="BD518" s="31"/>
      <c r="BE518" s="31"/>
      <c r="BF518" s="31"/>
      <c r="BG518" s="31"/>
      <c r="BH518" s="31"/>
    </row>
    <row r="519" spans="1:60" ht="12.75">
      <c r="A519" s="245"/>
      <c r="B519" s="608"/>
      <c r="C519" s="608"/>
      <c r="D519" s="245"/>
      <c r="E519" s="554"/>
      <c r="F519" s="31"/>
      <c r="G519" s="238"/>
      <c r="H519" s="238"/>
      <c r="I519" s="31"/>
      <c r="J519" s="31"/>
      <c r="K519" s="239"/>
      <c r="L519" s="239"/>
      <c r="M519" s="31"/>
      <c r="N519" s="31"/>
      <c r="O519" s="112"/>
      <c r="P519" s="31"/>
      <c r="Q519" s="31"/>
      <c r="R519" s="134"/>
      <c r="S519" s="134"/>
      <c r="T519" s="609"/>
      <c r="U519" s="610"/>
      <c r="AC519" s="196"/>
      <c r="AD519" s="171"/>
      <c r="AE519" s="112"/>
      <c r="AF519" s="135"/>
      <c r="AG519" s="511"/>
      <c r="AH519" s="511"/>
      <c r="AI519" s="31"/>
      <c r="AJ519" s="31"/>
      <c r="AK519" s="31"/>
      <c r="AL519" s="31"/>
      <c r="AM519" s="31"/>
      <c r="AN519" s="31"/>
      <c r="AO519" s="31"/>
      <c r="AP519" s="31"/>
      <c r="AQ519" s="31"/>
      <c r="AR519" s="31"/>
      <c r="AS519" s="31"/>
      <c r="AT519" s="31"/>
      <c r="AU519" s="31"/>
      <c r="AV519" s="31"/>
      <c r="AW519" s="31"/>
      <c r="AX519" s="31"/>
      <c r="AY519" s="31"/>
      <c r="AZ519" s="31"/>
      <c r="BA519" s="31"/>
      <c r="BB519" s="31"/>
      <c r="BC519" s="31"/>
      <c r="BD519" s="31"/>
      <c r="BE519" s="31"/>
      <c r="BF519" s="31"/>
      <c r="BG519" s="31"/>
      <c r="BH519" s="31"/>
    </row>
    <row r="520" spans="1:60" ht="12.75">
      <c r="A520" s="245"/>
      <c r="B520" s="608"/>
      <c r="C520" s="608"/>
      <c r="D520" s="245"/>
      <c r="E520" s="554"/>
      <c r="F520" s="31"/>
      <c r="G520" s="238"/>
      <c r="H520" s="238"/>
      <c r="I520" s="31"/>
      <c r="J520" s="31"/>
      <c r="K520" s="239"/>
      <c r="L520" s="239"/>
      <c r="M520" s="31"/>
      <c r="N520" s="31"/>
      <c r="O520" s="112"/>
      <c r="P520" s="31"/>
      <c r="Q520" s="31"/>
      <c r="R520" s="134"/>
      <c r="S520" s="134"/>
      <c r="T520" s="609"/>
      <c r="U520" s="610"/>
      <c r="AC520" s="196"/>
      <c r="AD520" s="171"/>
      <c r="AE520" s="112"/>
      <c r="AF520" s="135"/>
      <c r="AG520" s="511"/>
      <c r="AH520" s="511"/>
      <c r="AI520" s="31"/>
      <c r="AJ520" s="31"/>
      <c r="AK520" s="31"/>
      <c r="AL520" s="31"/>
      <c r="AM520" s="31"/>
      <c r="AN520" s="31"/>
      <c r="AO520" s="31"/>
      <c r="AP520" s="31"/>
      <c r="AQ520" s="31"/>
      <c r="AR520" s="31"/>
      <c r="AS520" s="31"/>
      <c r="AT520" s="31"/>
      <c r="AU520" s="31"/>
      <c r="AV520" s="31"/>
      <c r="AW520" s="31"/>
      <c r="AX520" s="31"/>
      <c r="AY520" s="31"/>
      <c r="AZ520" s="31"/>
      <c r="BA520" s="31"/>
      <c r="BB520" s="31"/>
      <c r="BC520" s="31"/>
      <c r="BD520" s="31"/>
      <c r="BE520" s="31"/>
      <c r="BF520" s="31"/>
      <c r="BG520" s="31"/>
      <c r="BH520" s="31"/>
    </row>
    <row r="521" spans="1:60" ht="15.75">
      <c r="A521" s="245"/>
      <c r="B521" s="608"/>
      <c r="C521" s="608"/>
      <c r="D521" s="245"/>
      <c r="E521" s="554"/>
      <c r="F521" s="31"/>
      <c r="G521" s="238"/>
      <c r="H521" s="238"/>
      <c r="I521" s="31"/>
      <c r="J521" s="31"/>
      <c r="K521" s="239"/>
      <c r="L521" s="239"/>
      <c r="M521" s="31"/>
      <c r="N521" s="31"/>
      <c r="O521" s="112"/>
      <c r="P521" s="31"/>
      <c r="Q521" s="31"/>
      <c r="R521" s="134"/>
      <c r="S521" s="134"/>
      <c r="T521" s="609"/>
      <c r="U521" s="610"/>
      <c r="AC521" s="196"/>
      <c r="AD521" s="171"/>
      <c r="AE521" s="172"/>
      <c r="AF521" s="611"/>
      <c r="AG521" s="611"/>
      <c r="AH521" s="612"/>
      <c r="AI521" s="31"/>
      <c r="AJ521" s="31"/>
      <c r="AK521" s="31"/>
      <c r="AL521" s="31"/>
      <c r="AM521" s="31"/>
      <c r="AN521" s="31"/>
      <c r="AO521" s="31"/>
      <c r="AP521" s="31"/>
      <c r="AQ521" s="31"/>
      <c r="AR521" s="31"/>
      <c r="AS521" s="31"/>
      <c r="AT521" s="31"/>
      <c r="AU521" s="31"/>
      <c r="AV521" s="31"/>
      <c r="AW521" s="31"/>
      <c r="AX521" s="31"/>
      <c r="AY521" s="31"/>
      <c r="AZ521" s="31"/>
      <c r="BA521" s="31"/>
      <c r="BB521" s="31"/>
      <c r="BC521" s="31"/>
      <c r="BD521" s="31"/>
      <c r="BE521" s="31"/>
      <c r="BF521" s="31"/>
      <c r="BG521" s="31"/>
      <c r="BH521" s="31"/>
    </row>
    <row r="522" spans="1:60" ht="15.75">
      <c r="A522" s="245"/>
      <c r="B522" s="608"/>
      <c r="C522" s="608"/>
      <c r="D522" s="245"/>
      <c r="E522" s="554"/>
      <c r="F522" s="31"/>
      <c r="G522" s="238"/>
      <c r="H522" s="238"/>
      <c r="I522" s="31"/>
      <c r="J522" s="31"/>
      <c r="K522" s="239"/>
      <c r="L522" s="239"/>
      <c r="M522" s="31"/>
      <c r="N522" s="31"/>
      <c r="O522" s="112"/>
      <c r="P522" s="31"/>
      <c r="Q522" s="31"/>
      <c r="R522" s="134"/>
      <c r="S522" s="134"/>
      <c r="T522" s="609"/>
      <c r="U522" s="610"/>
      <c r="AC522" s="196"/>
      <c r="AD522" s="171"/>
      <c r="AE522" s="172"/>
      <c r="AF522" s="611"/>
      <c r="AG522" s="611"/>
      <c r="AH522" s="612"/>
      <c r="AI522" s="31"/>
      <c r="AJ522" s="31"/>
      <c r="AK522" s="31"/>
      <c r="AL522" s="31"/>
      <c r="AM522" s="31"/>
      <c r="AN522" s="31"/>
      <c r="AO522" s="31"/>
      <c r="AP522" s="31"/>
      <c r="AQ522" s="31"/>
      <c r="AR522" s="31"/>
      <c r="AS522" s="31"/>
      <c r="AT522" s="31"/>
      <c r="AU522" s="31"/>
      <c r="AV522" s="31"/>
      <c r="AW522" s="31"/>
      <c r="AX522" s="31"/>
      <c r="AY522" s="31"/>
      <c r="AZ522" s="31"/>
      <c r="BA522" s="31"/>
      <c r="BB522" s="31"/>
      <c r="BC522" s="31"/>
      <c r="BD522" s="31"/>
      <c r="BE522" s="31"/>
      <c r="BF522" s="31"/>
      <c r="BG522" s="31"/>
      <c r="BH522" s="31"/>
    </row>
    <row r="523" spans="1:60" ht="12.75">
      <c r="A523" s="245"/>
      <c r="B523" s="608"/>
      <c r="C523" s="608"/>
      <c r="D523" s="245"/>
      <c r="E523" s="554"/>
      <c r="F523" s="31"/>
      <c r="G523" s="238"/>
      <c r="H523" s="238"/>
      <c r="I523" s="31"/>
      <c r="J523" s="31"/>
      <c r="K523" s="239"/>
      <c r="L523" s="239"/>
      <c r="M523" s="31"/>
      <c r="N523" s="31"/>
      <c r="O523" s="112"/>
      <c r="P523" s="31"/>
      <c r="Q523" s="31"/>
      <c r="R523" s="134"/>
      <c r="S523" s="134"/>
      <c r="T523" s="609"/>
      <c r="U523" s="610"/>
      <c r="AC523" s="196"/>
      <c r="AD523" s="134"/>
      <c r="AE523" s="112"/>
      <c r="AF523" s="31"/>
      <c r="AG523" s="31"/>
      <c r="AH523" s="31"/>
      <c r="AI523" s="31"/>
      <c r="AJ523" s="31"/>
      <c r="AK523" s="31"/>
      <c r="AL523" s="31"/>
      <c r="AM523" s="31"/>
      <c r="AN523" s="31"/>
      <c r="AO523" s="31"/>
      <c r="AP523" s="31"/>
      <c r="AQ523" s="31"/>
      <c r="AR523" s="31"/>
      <c r="AS523" s="31"/>
      <c r="AT523" s="31"/>
      <c r="AU523" s="31"/>
      <c r="AV523" s="31"/>
      <c r="AW523" s="31"/>
      <c r="AX523" s="31"/>
      <c r="AY523" s="31"/>
      <c r="AZ523" s="31"/>
      <c r="BA523" s="31"/>
      <c r="BB523" s="31"/>
      <c r="BC523" s="31"/>
      <c r="BD523" s="31"/>
      <c r="BE523" s="31"/>
      <c r="BF523" s="31"/>
      <c r="BG523" s="31"/>
      <c r="BH523" s="31"/>
    </row>
    <row r="524" spans="1:60" ht="12.75">
      <c r="A524" s="245"/>
      <c r="B524" s="608"/>
      <c r="C524" s="608"/>
      <c r="D524" s="245"/>
      <c r="E524" s="554"/>
      <c r="F524" s="31"/>
      <c r="G524" s="238"/>
      <c r="H524" s="238"/>
      <c r="I524" s="31"/>
      <c r="J524" s="31"/>
      <c r="K524" s="239"/>
      <c r="L524" s="239"/>
      <c r="M524" s="31"/>
      <c r="N524" s="31"/>
      <c r="O524" s="112"/>
      <c r="P524" s="31"/>
      <c r="Q524" s="31"/>
      <c r="R524" s="134"/>
      <c r="S524" s="134"/>
      <c r="T524" s="609"/>
      <c r="U524" s="610"/>
      <c r="AC524" s="196"/>
      <c r="AD524" s="613" t="s">
        <v>633</v>
      </c>
      <c r="AE524" s="614" t="s">
        <v>634</v>
      </c>
      <c r="AF524" s="614" t="s">
        <v>635</v>
      </c>
      <c r="AG524" s="614" t="s">
        <v>636</v>
      </c>
      <c r="AH524" s="765" t="s">
        <v>637</v>
      </c>
      <c r="AI524" s="765"/>
      <c r="AJ524" s="615"/>
      <c r="AK524" s="31"/>
      <c r="AL524" s="31"/>
      <c r="AM524" s="31"/>
      <c r="AN524" s="31"/>
      <c r="AO524" s="31"/>
      <c r="AP524" s="31"/>
      <c r="AQ524" s="31"/>
      <c r="AR524" s="31"/>
      <c r="AS524" s="31"/>
      <c r="AT524" s="31"/>
      <c r="AU524" s="31"/>
      <c r="AV524" s="31"/>
      <c r="AW524" s="31"/>
      <c r="AX524" s="31"/>
      <c r="AY524" s="31"/>
      <c r="AZ524" s="31"/>
      <c r="BA524" s="31"/>
      <c r="BB524" s="31"/>
      <c r="BC524" s="31"/>
      <c r="BD524" s="31"/>
      <c r="BE524" s="31"/>
      <c r="BF524" s="31"/>
      <c r="BG524" s="31"/>
      <c r="BH524" s="31"/>
    </row>
    <row r="525" spans="1:60" ht="12.75">
      <c r="A525" s="245"/>
      <c r="B525" s="608"/>
      <c r="C525" s="608"/>
      <c r="D525" s="245"/>
      <c r="E525" s="554"/>
      <c r="F525" s="31"/>
      <c r="G525" s="238"/>
      <c r="H525" s="238"/>
      <c r="I525" s="31"/>
      <c r="J525" s="31"/>
      <c r="K525" s="239"/>
      <c r="L525" s="239"/>
      <c r="M525" s="31"/>
      <c r="N525" s="31"/>
      <c r="O525" s="112"/>
      <c r="P525" s="31"/>
      <c r="Q525" s="31"/>
      <c r="R525" s="134"/>
      <c r="S525" s="134"/>
      <c r="T525" s="609"/>
      <c r="U525" s="610"/>
      <c r="AC525" s="196"/>
      <c r="AD525" s="616" t="s">
        <v>638</v>
      </c>
      <c r="AE525" s="617" t="s">
        <v>639</v>
      </c>
      <c r="AF525" s="617" t="s">
        <v>640</v>
      </c>
      <c r="AG525" s="617" t="s">
        <v>641</v>
      </c>
      <c r="AH525" s="618" t="s">
        <v>642</v>
      </c>
      <c r="AI525" s="618" t="s">
        <v>643</v>
      </c>
      <c r="AJ525" s="615"/>
      <c r="AK525" s="31"/>
      <c r="AL525" s="31"/>
      <c r="AM525" s="31"/>
      <c r="AN525" s="31"/>
      <c r="AO525" s="31"/>
      <c r="AP525" s="31"/>
      <c r="AQ525" s="31"/>
      <c r="AR525" s="31"/>
      <c r="AS525" s="31"/>
      <c r="AT525" s="31"/>
      <c r="AU525" s="31"/>
      <c r="AV525" s="31"/>
      <c r="AW525" s="31"/>
      <c r="AX525" s="31"/>
      <c r="AY525" s="31"/>
      <c r="AZ525" s="31"/>
      <c r="BA525" s="31"/>
      <c r="BB525" s="31"/>
      <c r="BC525" s="31"/>
      <c r="BD525" s="31"/>
      <c r="BE525" s="31"/>
      <c r="BF525" s="31"/>
      <c r="BG525" s="31"/>
      <c r="BH525" s="31"/>
    </row>
    <row r="526" spans="1:60" ht="25.5" customHeight="1">
      <c r="A526" s="245"/>
      <c r="B526" s="608"/>
      <c r="C526" s="608"/>
      <c r="D526" s="245"/>
      <c r="E526" s="554"/>
      <c r="F526" s="31"/>
      <c r="G526" s="238"/>
      <c r="H526" s="238"/>
      <c r="I526" s="31"/>
      <c r="J526" s="31"/>
      <c r="K526" s="239"/>
      <c r="L526" s="239"/>
      <c r="M526" s="31"/>
      <c r="N526" s="31"/>
      <c r="O526" s="112"/>
      <c r="P526" s="31"/>
      <c r="Q526" s="31"/>
      <c r="R526" s="134"/>
      <c r="S526" s="134"/>
      <c r="T526" s="609"/>
      <c r="U526" s="610"/>
      <c r="AC526" s="196"/>
      <c r="AD526" s="619"/>
      <c r="AE526" s="618"/>
      <c r="AF526" s="618"/>
      <c r="AG526" s="620"/>
      <c r="AH526" s="620"/>
      <c r="AI526" s="620"/>
      <c r="AJ526" s="621"/>
      <c r="AK526" s="31"/>
      <c r="AL526" s="31"/>
      <c r="AM526" s="31"/>
      <c r="AN526" s="31"/>
      <c r="AO526" s="31"/>
      <c r="AP526" s="31"/>
      <c r="AQ526" s="31"/>
      <c r="AR526" s="31"/>
      <c r="AS526" s="31"/>
      <c r="AT526" s="31"/>
      <c r="AU526" s="31"/>
      <c r="AV526" s="31"/>
      <c r="AW526" s="31"/>
      <c r="AX526" s="31"/>
      <c r="AY526" s="31"/>
      <c r="AZ526" s="31"/>
      <c r="BA526" s="31"/>
      <c r="BB526" s="31"/>
      <c r="BC526" s="31"/>
      <c r="BD526" s="31"/>
      <c r="BE526" s="31"/>
      <c r="BF526" s="31"/>
      <c r="BG526" s="31"/>
      <c r="BH526" s="31"/>
    </row>
    <row r="527" spans="1:60" ht="18" customHeight="1">
      <c r="A527" s="245"/>
      <c r="B527" s="608"/>
      <c r="C527" s="608"/>
      <c r="D527" s="245"/>
      <c r="E527" s="554"/>
      <c r="F527" s="31"/>
      <c r="G527" s="238"/>
      <c r="H527" s="238"/>
      <c r="I527" s="31"/>
      <c r="J527" s="31"/>
      <c r="K527" s="239"/>
      <c r="L527" s="239"/>
      <c r="M527" s="31"/>
      <c r="N527" s="31"/>
      <c r="O527" s="112"/>
      <c r="P527" s="31"/>
      <c r="Q527" s="31"/>
      <c r="R527" s="134"/>
      <c r="S527" s="134"/>
      <c r="T527" s="609"/>
      <c r="U527" s="610"/>
      <c r="AC527" s="196"/>
      <c r="AD527" s="619" t="s">
        <v>644</v>
      </c>
      <c r="AE527" s="622" t="s">
        <v>645</v>
      </c>
      <c r="AF527" s="618" t="s">
        <v>646</v>
      </c>
      <c r="AG527" s="620">
        <v>0.47</v>
      </c>
      <c r="AH527" s="620">
        <f>(($Q$88*100/19.6)+$AG$527)*19.6%</f>
        <v>14.54124</v>
      </c>
      <c r="AI527" s="620">
        <f>(($R$88*100/13)+$AG$527)*13%</f>
        <v>9.6447</v>
      </c>
      <c r="AJ527" s="623">
        <v>5909</v>
      </c>
      <c r="AK527" s="31"/>
      <c r="AL527" s="31"/>
      <c r="AM527" s="31"/>
      <c r="AN527" s="31"/>
      <c r="AO527" s="31"/>
      <c r="AP527" s="31"/>
      <c r="AQ527" s="31"/>
      <c r="AR527" s="31"/>
      <c r="AS527" s="31"/>
      <c r="AT527" s="31"/>
      <c r="AU527" s="31"/>
      <c r="AV527" s="31"/>
      <c r="AW527" s="31"/>
      <c r="AX527" s="31"/>
      <c r="AY527" s="31"/>
      <c r="AZ527" s="31"/>
      <c r="BA527" s="31"/>
      <c r="BB527" s="31"/>
      <c r="BC527" s="31"/>
      <c r="BD527" s="31"/>
      <c r="BE527" s="31"/>
      <c r="BF527" s="31"/>
      <c r="BG527" s="31"/>
      <c r="BH527" s="31"/>
    </row>
    <row r="528" spans="1:60" ht="12.75">
      <c r="A528" s="245"/>
      <c r="B528" s="608"/>
      <c r="C528" s="608"/>
      <c r="D528" s="245"/>
      <c r="E528" s="554"/>
      <c r="F528" s="31"/>
      <c r="G528" s="238"/>
      <c r="H528" s="238"/>
      <c r="I528" s="31"/>
      <c r="J528" s="31"/>
      <c r="K528" s="239"/>
      <c r="L528" s="239"/>
      <c r="M528" s="31"/>
      <c r="N528" s="31"/>
      <c r="O528" s="112"/>
      <c r="P528" s="31"/>
      <c r="Q528" s="31"/>
      <c r="R528" s="134"/>
      <c r="S528" s="134"/>
      <c r="T528" s="609"/>
      <c r="U528" s="610"/>
      <c r="AC528" s="196"/>
      <c r="AD528" s="624" t="s">
        <v>647</v>
      </c>
      <c r="AE528" s="614" t="s">
        <v>648</v>
      </c>
      <c r="AF528" s="614"/>
      <c r="AG528" s="613"/>
      <c r="AH528" s="613"/>
      <c r="AI528" s="613"/>
      <c r="AJ528" s="623"/>
      <c r="AK528" s="31"/>
      <c r="AL528" s="31"/>
      <c r="AM528" s="31"/>
      <c r="AN528" s="31"/>
      <c r="AO528" s="31"/>
      <c r="AP528" s="31"/>
      <c r="AQ528" s="31"/>
      <c r="AR528" s="31"/>
      <c r="AS528" s="31"/>
      <c r="AT528" s="31"/>
      <c r="AU528" s="31"/>
      <c r="AV528" s="31"/>
      <c r="AW528" s="31"/>
      <c r="AX528" s="31"/>
      <c r="AY528" s="31"/>
      <c r="AZ528" s="31"/>
      <c r="BA528" s="31"/>
      <c r="BB528" s="31"/>
      <c r="BC528" s="31"/>
      <c r="BD528" s="31"/>
      <c r="BE528" s="31"/>
      <c r="BF528" s="31"/>
      <c r="BG528" s="31"/>
      <c r="BH528" s="31"/>
    </row>
    <row r="529" spans="1:60" ht="12.75">
      <c r="A529" s="245"/>
      <c r="B529" s="608"/>
      <c r="C529" s="608"/>
      <c r="D529" s="245"/>
      <c r="E529" s="554"/>
      <c r="F529" s="31"/>
      <c r="G529" s="238"/>
      <c r="H529" s="238"/>
      <c r="I529" s="31"/>
      <c r="J529" s="31"/>
      <c r="K529" s="239"/>
      <c r="L529" s="239"/>
      <c r="M529" s="31"/>
      <c r="N529" s="31"/>
      <c r="O529" s="112"/>
      <c r="P529" s="31"/>
      <c r="Q529" s="31"/>
      <c r="R529" s="134"/>
      <c r="S529" s="134"/>
      <c r="T529" s="609"/>
      <c r="U529" s="610"/>
      <c r="AC529" s="196"/>
      <c r="AD529" s="625" t="s">
        <v>649</v>
      </c>
      <c r="AE529" s="626" t="s">
        <v>650</v>
      </c>
      <c r="AF529" s="626" t="s">
        <v>651</v>
      </c>
      <c r="AG529" s="627">
        <v>0.47</v>
      </c>
      <c r="AH529" s="627">
        <f>((Q98*100/19.6)+$AG$529)*19.6%</f>
        <v>19.747</v>
      </c>
      <c r="AI529" s="627">
        <f>(($R$92*100/13)+$AG$529)*13%</f>
        <v>12.967500000000001</v>
      </c>
      <c r="AJ529" s="623">
        <v>5928</v>
      </c>
      <c r="AK529" s="31"/>
      <c r="AL529" s="31"/>
      <c r="AM529" s="31"/>
      <c r="AN529" s="31"/>
      <c r="AO529" s="31"/>
      <c r="AP529" s="31"/>
      <c r="AQ529" s="31"/>
      <c r="AR529" s="31"/>
      <c r="AS529" s="31"/>
      <c r="AT529" s="31"/>
      <c r="AU529" s="31"/>
      <c r="AV529" s="31"/>
      <c r="AW529" s="31"/>
      <c r="AX529" s="31"/>
      <c r="AY529" s="31"/>
      <c r="AZ529" s="31"/>
      <c r="BA529" s="31"/>
      <c r="BB529" s="31"/>
      <c r="BC529" s="31"/>
      <c r="BD529" s="31"/>
      <c r="BE529" s="31"/>
      <c r="BF529" s="31"/>
      <c r="BG529" s="31"/>
      <c r="BH529" s="31"/>
    </row>
    <row r="530" spans="1:60" ht="12.75">
      <c r="A530" s="245"/>
      <c r="B530" s="608"/>
      <c r="C530" s="608"/>
      <c r="D530" s="245"/>
      <c r="E530" s="554"/>
      <c r="F530" s="31"/>
      <c r="G530" s="238"/>
      <c r="H530" s="238"/>
      <c r="I530" s="31"/>
      <c r="J530" s="31"/>
      <c r="K530" s="239"/>
      <c r="L530" s="239"/>
      <c r="M530" s="31"/>
      <c r="N530" s="31"/>
      <c r="O530" s="112"/>
      <c r="P530" s="31"/>
      <c r="Q530" s="31"/>
      <c r="R530" s="134"/>
      <c r="S530" s="134"/>
      <c r="T530" s="609"/>
      <c r="U530" s="610"/>
      <c r="AC530" s="196"/>
      <c r="AD530" s="628" t="s">
        <v>652</v>
      </c>
      <c r="AE530" s="629"/>
      <c r="AF530" s="617"/>
      <c r="AG530" s="616"/>
      <c r="AH530" s="616"/>
      <c r="AI530" s="616"/>
      <c r="AJ530" s="623"/>
      <c r="AK530" s="31"/>
      <c r="AL530" s="31"/>
      <c r="AM530" s="31"/>
      <c r="AN530" s="31"/>
      <c r="AO530" s="31"/>
      <c r="AP530" s="31"/>
      <c r="AQ530" s="31"/>
      <c r="AR530" s="31"/>
      <c r="AS530" s="31"/>
      <c r="AT530" s="31"/>
      <c r="AU530" s="31"/>
      <c r="AV530" s="31"/>
      <c r="AW530" s="31"/>
      <c r="AX530" s="31"/>
      <c r="AY530" s="31"/>
      <c r="AZ530" s="31"/>
      <c r="BA530" s="31"/>
      <c r="BB530" s="31"/>
      <c r="BC530" s="31"/>
      <c r="BD530" s="31"/>
      <c r="BE530" s="31"/>
      <c r="BF530" s="31"/>
      <c r="BG530" s="31"/>
      <c r="BH530" s="31"/>
    </row>
    <row r="531" spans="1:60" ht="12.75">
      <c r="A531" s="245"/>
      <c r="B531" s="608"/>
      <c r="C531" s="608"/>
      <c r="D531" s="245"/>
      <c r="E531" s="554"/>
      <c r="F531" s="31"/>
      <c r="G531" s="238"/>
      <c r="H531" s="238"/>
      <c r="I531" s="31"/>
      <c r="J531" s="31"/>
      <c r="K531" s="239"/>
      <c r="L531" s="239"/>
      <c r="M531" s="31"/>
      <c r="N531" s="31"/>
      <c r="O531" s="112"/>
      <c r="P531" s="31"/>
      <c r="Q531" s="31"/>
      <c r="R531" s="134"/>
      <c r="S531" s="134"/>
      <c r="T531" s="609"/>
      <c r="U531" s="610"/>
      <c r="AC531" s="196"/>
      <c r="AD531" s="624" t="s">
        <v>653</v>
      </c>
      <c r="AE531" s="614"/>
      <c r="AF531" s="614"/>
      <c r="AG531" s="613"/>
      <c r="AH531" s="613"/>
      <c r="AI531" s="613"/>
      <c r="AJ531" s="623"/>
      <c r="AK531" s="31"/>
      <c r="AL531" s="31"/>
      <c r="AM531" s="31"/>
      <c r="AN531" s="31"/>
      <c r="AO531" s="31"/>
      <c r="AP531" s="31"/>
      <c r="AQ531" s="31"/>
      <c r="AR531" s="31"/>
      <c r="AS531" s="31"/>
      <c r="AT531" s="31"/>
      <c r="AU531" s="31"/>
      <c r="AV531" s="31"/>
      <c r="AW531" s="31"/>
      <c r="AX531" s="31"/>
      <c r="AY531" s="31"/>
      <c r="AZ531" s="31"/>
      <c r="BA531" s="31"/>
      <c r="BB531" s="31"/>
      <c r="BC531" s="31"/>
      <c r="BD531" s="31"/>
      <c r="BE531" s="31"/>
      <c r="BF531" s="31"/>
      <c r="BG531" s="31"/>
      <c r="BH531" s="31"/>
    </row>
    <row r="532" spans="1:60" ht="12.75">
      <c r="A532" s="245"/>
      <c r="B532" s="608"/>
      <c r="C532" s="608"/>
      <c r="D532" s="245"/>
      <c r="E532" s="554"/>
      <c r="F532" s="31"/>
      <c r="G532" s="238"/>
      <c r="H532" s="238"/>
      <c r="I532" s="31"/>
      <c r="J532" s="31"/>
      <c r="K532" s="239"/>
      <c r="L532" s="239"/>
      <c r="M532" s="31"/>
      <c r="N532" s="31"/>
      <c r="O532" s="112"/>
      <c r="P532" s="31"/>
      <c r="Q532" s="31"/>
      <c r="R532" s="134"/>
      <c r="S532" s="134"/>
      <c r="T532" s="609"/>
      <c r="U532" s="610"/>
      <c r="AC532" s="196"/>
      <c r="AD532" s="625" t="s">
        <v>654</v>
      </c>
      <c r="AE532" s="626" t="s">
        <v>655</v>
      </c>
      <c r="AF532" s="626" t="s">
        <v>656</v>
      </c>
      <c r="AG532" s="627">
        <v>0.47</v>
      </c>
      <c r="AH532" s="627">
        <f>((Q105*100/19.6)+$AG$532)*19.6%</f>
        <v>19.747</v>
      </c>
      <c r="AI532" s="627">
        <f>((R105*100/13)+$AG$532)*13%</f>
        <v>12.967500000000001</v>
      </c>
      <c r="AJ532" s="623">
        <v>5960</v>
      </c>
      <c r="AK532" s="31"/>
      <c r="AL532" s="31"/>
      <c r="AM532" s="31"/>
      <c r="AN532" s="31"/>
      <c r="AO532" s="31"/>
      <c r="AP532" s="31"/>
      <c r="AQ532" s="31"/>
      <c r="AR532" s="31"/>
      <c r="AS532" s="31"/>
      <c r="AT532" s="31"/>
      <c r="AU532" s="31"/>
      <c r="AV532" s="31"/>
      <c r="AW532" s="31"/>
      <c r="AX532" s="31"/>
      <c r="AY532" s="31"/>
      <c r="AZ532" s="31"/>
      <c r="BA532" s="31"/>
      <c r="BB532" s="31"/>
      <c r="BC532" s="31"/>
      <c r="BD532" s="31"/>
      <c r="BE532" s="31"/>
      <c r="BF532" s="31"/>
      <c r="BG532" s="31"/>
      <c r="BH532" s="31"/>
    </row>
    <row r="533" spans="1:60" ht="12.75">
      <c r="A533" s="245"/>
      <c r="B533" s="608"/>
      <c r="C533" s="608"/>
      <c r="D533" s="245"/>
      <c r="E533" s="554"/>
      <c r="F533" s="31"/>
      <c r="G533" s="238"/>
      <c r="H533" s="238"/>
      <c r="I533" s="31"/>
      <c r="J533" s="31"/>
      <c r="K533" s="239"/>
      <c r="L533" s="239"/>
      <c r="M533" s="31"/>
      <c r="N533" s="31"/>
      <c r="O533" s="112"/>
      <c r="P533" s="31"/>
      <c r="Q533" s="31"/>
      <c r="R533" s="134"/>
      <c r="S533" s="134"/>
      <c r="T533" s="609"/>
      <c r="U533" s="610"/>
      <c r="AC533" s="196"/>
      <c r="AD533" s="625" t="s">
        <v>657</v>
      </c>
      <c r="AE533" s="626"/>
      <c r="AF533" s="626"/>
      <c r="AG533" s="627"/>
      <c r="AH533" s="627"/>
      <c r="AI533" s="627"/>
      <c r="AJ533" s="623"/>
      <c r="AK533" s="31"/>
      <c r="AL533" s="31"/>
      <c r="AM533" s="31"/>
      <c r="AN533" s="31"/>
      <c r="AO533" s="31"/>
      <c r="AP533" s="31"/>
      <c r="AQ533" s="31"/>
      <c r="AR533" s="31"/>
      <c r="AS533" s="31"/>
      <c r="AT533" s="31"/>
      <c r="AU533" s="31"/>
      <c r="AV533" s="31"/>
      <c r="AW533" s="31"/>
      <c r="AX533" s="31"/>
      <c r="AY533" s="31"/>
      <c r="AZ533" s="31"/>
      <c r="BA533" s="31"/>
      <c r="BB533" s="31"/>
      <c r="BC533" s="31"/>
      <c r="BD533" s="31"/>
      <c r="BE533" s="31"/>
      <c r="BF533" s="31"/>
      <c r="BG533" s="31"/>
      <c r="BH533" s="31"/>
    </row>
    <row r="534" spans="1:60" ht="12.75">
      <c r="A534" s="245"/>
      <c r="B534" s="608"/>
      <c r="C534" s="608"/>
      <c r="D534" s="245"/>
      <c r="E534" s="554"/>
      <c r="F534" s="31"/>
      <c r="G534" s="238"/>
      <c r="H534" s="238"/>
      <c r="I534" s="31"/>
      <c r="J534" s="31"/>
      <c r="K534" s="239"/>
      <c r="L534" s="239"/>
      <c r="M534" s="31"/>
      <c r="N534" s="31"/>
      <c r="O534" s="112"/>
      <c r="P534" s="31"/>
      <c r="Q534" s="31"/>
      <c r="R534" s="134"/>
      <c r="S534" s="134"/>
      <c r="T534" s="609"/>
      <c r="U534" s="610"/>
      <c r="AC534" s="196"/>
      <c r="AD534" s="628"/>
      <c r="AE534" s="617"/>
      <c r="AF534" s="617"/>
      <c r="AG534" s="616"/>
      <c r="AH534" s="616"/>
      <c r="AI534" s="616"/>
      <c r="AJ534" s="623"/>
      <c r="AK534" s="31"/>
      <c r="AL534" s="31"/>
      <c r="AM534" s="31"/>
      <c r="AN534" s="31"/>
      <c r="AO534" s="31"/>
      <c r="AP534" s="31"/>
      <c r="AQ534" s="31"/>
      <c r="AR534" s="31"/>
      <c r="AS534" s="31"/>
      <c r="AT534" s="31"/>
      <c r="AU534" s="31"/>
      <c r="AV534" s="31"/>
      <c r="AW534" s="31"/>
      <c r="AX534" s="31"/>
      <c r="AY534" s="31"/>
      <c r="AZ534" s="31"/>
      <c r="BA534" s="31"/>
      <c r="BB534" s="31"/>
      <c r="BC534" s="31"/>
      <c r="BD534" s="31"/>
      <c r="BE534" s="31"/>
      <c r="BF534" s="31"/>
      <c r="BG534" s="31"/>
      <c r="BH534" s="31"/>
    </row>
    <row r="535" spans="1:60" ht="12.75">
      <c r="A535" s="245"/>
      <c r="B535" s="608"/>
      <c r="C535" s="608"/>
      <c r="D535" s="245"/>
      <c r="E535" s="554"/>
      <c r="F535" s="31"/>
      <c r="G535" s="238"/>
      <c r="H535" s="238"/>
      <c r="I535" s="31"/>
      <c r="J535" s="31"/>
      <c r="K535" s="239"/>
      <c r="L535" s="239"/>
      <c r="M535" s="31"/>
      <c r="N535" s="31"/>
      <c r="O535" s="112"/>
      <c r="P535" s="31"/>
      <c r="Q535" s="31"/>
      <c r="R535" s="134"/>
      <c r="S535" s="134"/>
      <c r="T535" s="609"/>
      <c r="U535" s="610"/>
      <c r="AC535" s="196"/>
      <c r="AD535" s="624" t="s">
        <v>658</v>
      </c>
      <c r="AE535" s="614" t="s">
        <v>659</v>
      </c>
      <c r="AF535" s="614"/>
      <c r="AG535" s="613"/>
      <c r="AH535" s="613"/>
      <c r="AI535" s="613"/>
      <c r="AJ535" s="623"/>
      <c r="AK535" s="31"/>
      <c r="AL535" s="31"/>
      <c r="AM535" s="31"/>
      <c r="AN535" s="31"/>
      <c r="AO535" s="31"/>
      <c r="AP535" s="31"/>
      <c r="AQ535" s="31"/>
      <c r="AR535" s="31"/>
      <c r="AS535" s="31"/>
      <c r="AT535" s="31"/>
      <c r="AU535" s="31"/>
      <c r="AV535" s="31"/>
      <c r="AW535" s="31"/>
      <c r="AX535" s="31"/>
      <c r="AY535" s="31"/>
      <c r="AZ535" s="31"/>
      <c r="BA535" s="31"/>
      <c r="BB535" s="31"/>
      <c r="BC535" s="31"/>
      <c r="BD535" s="31"/>
      <c r="BE535" s="31"/>
      <c r="BF535" s="31"/>
      <c r="BG535" s="31"/>
      <c r="BH535" s="31"/>
    </row>
    <row r="536" spans="1:60" ht="12.75">
      <c r="A536" s="245"/>
      <c r="B536" s="608"/>
      <c r="C536" s="608"/>
      <c r="D536" s="245"/>
      <c r="E536" s="554"/>
      <c r="F536" s="31"/>
      <c r="G536" s="238"/>
      <c r="H536" s="238"/>
      <c r="I536" s="31"/>
      <c r="J536" s="31"/>
      <c r="K536" s="239"/>
      <c r="L536" s="239"/>
      <c r="M536" s="31"/>
      <c r="N536" s="31"/>
      <c r="O536" s="112"/>
      <c r="P536" s="31"/>
      <c r="Q536" s="31"/>
      <c r="R536" s="134"/>
      <c r="S536" s="134"/>
      <c r="T536" s="609"/>
      <c r="U536" s="610"/>
      <c r="AC536" s="196"/>
      <c r="AD536" s="625" t="s">
        <v>660</v>
      </c>
      <c r="AE536" s="626" t="s">
        <v>661</v>
      </c>
      <c r="AF536" s="626" t="s">
        <v>662</v>
      </c>
      <c r="AG536" s="627">
        <v>0.47</v>
      </c>
      <c r="AH536" s="627">
        <f>(($Q$96*100/19.6)+$AG$536)*19.6%</f>
        <v>20.73484</v>
      </c>
      <c r="AI536" s="627">
        <f>(($R$96*100/13)+$AG$536)*13%</f>
        <v>13.622700000000002</v>
      </c>
      <c r="AJ536" s="623">
        <v>5923</v>
      </c>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c r="BH536" s="31"/>
    </row>
    <row r="537" spans="1:60" ht="12.75">
      <c r="A537" s="245"/>
      <c r="B537" s="608"/>
      <c r="C537" s="608"/>
      <c r="D537" s="245"/>
      <c r="E537" s="554"/>
      <c r="F537" s="31"/>
      <c r="G537" s="238"/>
      <c r="H537" s="238"/>
      <c r="I537" s="31"/>
      <c r="J537" s="31"/>
      <c r="K537" s="239"/>
      <c r="L537" s="239"/>
      <c r="M537" s="31"/>
      <c r="N537" s="31"/>
      <c r="O537" s="112"/>
      <c r="P537" s="31"/>
      <c r="Q537" s="31"/>
      <c r="R537" s="134"/>
      <c r="S537" s="134"/>
      <c r="T537" s="609"/>
      <c r="U537" s="610"/>
      <c r="AC537" s="196"/>
      <c r="AD537" s="625" t="s">
        <v>663</v>
      </c>
      <c r="AE537" s="626" t="s">
        <v>664</v>
      </c>
      <c r="AF537" s="626"/>
      <c r="AG537" s="627"/>
      <c r="AH537" s="627"/>
      <c r="AI537" s="627"/>
      <c r="AJ537" s="623"/>
      <c r="AK537" s="31"/>
      <c r="AL537" s="31"/>
      <c r="AM537" s="31"/>
      <c r="AN537" s="31"/>
      <c r="AO537" s="31"/>
      <c r="AP537" s="31"/>
      <c r="AQ537" s="31"/>
      <c r="AR537" s="31"/>
      <c r="AS537" s="31"/>
      <c r="AT537" s="31"/>
      <c r="AU537" s="31"/>
      <c r="AV537" s="31"/>
      <c r="AW537" s="31"/>
      <c r="AX537" s="31"/>
      <c r="AY537" s="31"/>
      <c r="AZ537" s="31"/>
      <c r="BA537" s="31"/>
      <c r="BB537" s="31"/>
      <c r="BC537" s="31"/>
      <c r="BD537" s="31"/>
      <c r="BE537" s="31"/>
      <c r="BF537" s="31"/>
      <c r="BG537" s="31"/>
      <c r="BH537" s="31"/>
    </row>
    <row r="538" spans="1:60" ht="12.75">
      <c r="A538" s="245"/>
      <c r="B538" s="608"/>
      <c r="C538" s="608"/>
      <c r="D538" s="245"/>
      <c r="E538" s="554"/>
      <c r="F538" s="31"/>
      <c r="G538" s="238"/>
      <c r="H538" s="238"/>
      <c r="I538" s="31"/>
      <c r="J538" s="31"/>
      <c r="K538" s="239"/>
      <c r="L538" s="239"/>
      <c r="M538" s="31"/>
      <c r="N538" s="31"/>
      <c r="O538" s="112"/>
      <c r="P538" s="31"/>
      <c r="Q538" s="31"/>
      <c r="R538" s="134"/>
      <c r="S538" s="134"/>
      <c r="T538" s="609"/>
      <c r="U538" s="610"/>
      <c r="AC538" s="196"/>
      <c r="AD538" s="628"/>
      <c r="AE538" s="617" t="s">
        <v>665</v>
      </c>
      <c r="AF538" s="617"/>
      <c r="AG538" s="616"/>
      <c r="AH538" s="616"/>
      <c r="AI538" s="616"/>
      <c r="AJ538" s="623"/>
      <c r="AK538" s="31"/>
      <c r="AL538" s="31"/>
      <c r="AM538" s="31"/>
      <c r="AN538" s="31"/>
      <c r="AO538" s="31"/>
      <c r="AP538" s="31"/>
      <c r="AQ538" s="31"/>
      <c r="AR538" s="31"/>
      <c r="AS538" s="31"/>
      <c r="AT538" s="31"/>
      <c r="AU538" s="31"/>
      <c r="AV538" s="31"/>
      <c r="AW538" s="31"/>
      <c r="AX538" s="31"/>
      <c r="AY538" s="31"/>
      <c r="AZ538" s="31"/>
      <c r="BA538" s="31"/>
      <c r="BB538" s="31"/>
      <c r="BC538" s="31"/>
      <c r="BD538" s="31"/>
      <c r="BE538" s="31"/>
      <c r="BF538" s="31"/>
      <c r="BG538" s="31"/>
      <c r="BH538" s="31"/>
    </row>
    <row r="539" spans="1:60" ht="12.75">
      <c r="A539" s="245"/>
      <c r="B539" s="608"/>
      <c r="C539" s="608"/>
      <c r="D539" s="245"/>
      <c r="E539" s="554"/>
      <c r="F539" s="31"/>
      <c r="G539" s="238"/>
      <c r="H539" s="238"/>
      <c r="I539" s="31"/>
      <c r="J539" s="31"/>
      <c r="K539" s="239"/>
      <c r="L539" s="239"/>
      <c r="M539" s="31"/>
      <c r="N539" s="31"/>
      <c r="O539" s="112"/>
      <c r="P539" s="31"/>
      <c r="Q539" s="31"/>
      <c r="R539" s="134"/>
      <c r="S539" s="134"/>
      <c r="T539" s="609"/>
      <c r="U539" s="610"/>
      <c r="AC539" s="196"/>
      <c r="AD539" s="624" t="s">
        <v>666</v>
      </c>
      <c r="AE539" s="614" t="s">
        <v>667</v>
      </c>
      <c r="AF539" s="614" t="s">
        <v>668</v>
      </c>
      <c r="AG539" s="613">
        <v>0.6</v>
      </c>
      <c r="AH539" s="613">
        <f>(($Q$115*100/19.6)+$AG$539)*19.6%</f>
        <v>7.5165999999999995</v>
      </c>
      <c r="AI539" s="613">
        <f>(($R$115*100/13)+$AG$539)*13%</f>
        <v>4.9855</v>
      </c>
      <c r="AJ539" s="623">
        <v>5901</v>
      </c>
      <c r="AK539" s="31"/>
      <c r="AL539" s="31"/>
      <c r="AM539" s="31"/>
      <c r="AN539" s="31"/>
      <c r="AO539" s="31"/>
      <c r="AP539" s="31"/>
      <c r="AQ539" s="31"/>
      <c r="AR539" s="31"/>
      <c r="AS539" s="31"/>
      <c r="AT539" s="31"/>
      <c r="AU539" s="31"/>
      <c r="AV539" s="31"/>
      <c r="AW539" s="31"/>
      <c r="AX539" s="31"/>
      <c r="AY539" s="31"/>
      <c r="AZ539" s="31"/>
      <c r="BA539" s="31"/>
      <c r="BB539" s="31"/>
      <c r="BC539" s="31"/>
      <c r="BD539" s="31"/>
      <c r="BE539" s="31"/>
      <c r="BF539" s="31"/>
      <c r="BG539" s="31"/>
      <c r="BH539" s="31"/>
    </row>
    <row r="540" spans="1:60" ht="12.75">
      <c r="A540" s="245"/>
      <c r="B540" s="608"/>
      <c r="C540" s="608"/>
      <c r="D540" s="245"/>
      <c r="E540" s="554"/>
      <c r="F540" s="31"/>
      <c r="G540" s="238"/>
      <c r="H540" s="238"/>
      <c r="I540" s="31"/>
      <c r="J540" s="31"/>
      <c r="K540" s="239"/>
      <c r="L540" s="239"/>
      <c r="M540" s="31"/>
      <c r="N540" s="31"/>
      <c r="O540" s="112"/>
      <c r="P540" s="31"/>
      <c r="Q540" s="31"/>
      <c r="R540" s="134"/>
      <c r="S540" s="134"/>
      <c r="T540" s="609"/>
      <c r="U540" s="610"/>
      <c r="AC540" s="196"/>
      <c r="AD540" s="628"/>
      <c r="AE540" s="617" t="s">
        <v>669</v>
      </c>
      <c r="AF540" s="617"/>
      <c r="AG540" s="616"/>
      <c r="AH540" s="616"/>
      <c r="AI540" s="616"/>
      <c r="AJ540" s="623"/>
      <c r="AK540" s="31"/>
      <c r="AL540" s="31"/>
      <c r="AM540" s="31"/>
      <c r="AN540" s="31"/>
      <c r="AO540" s="31"/>
      <c r="AP540" s="31"/>
      <c r="AQ540" s="31"/>
      <c r="AR540" s="31"/>
      <c r="AS540" s="31"/>
      <c r="AT540" s="31"/>
      <c r="AU540" s="31"/>
      <c r="AV540" s="31"/>
      <c r="AW540" s="31"/>
      <c r="AX540" s="31"/>
      <c r="AY540" s="31"/>
      <c r="AZ540" s="31"/>
      <c r="BA540" s="31"/>
      <c r="BB540" s="31"/>
      <c r="BC540" s="31"/>
      <c r="BD540" s="31"/>
      <c r="BE540" s="31"/>
      <c r="BF540" s="31"/>
      <c r="BG540" s="31"/>
      <c r="BH540" s="31"/>
    </row>
    <row r="541" spans="1:60" ht="12.75">
      <c r="A541" s="245"/>
      <c r="B541" s="608"/>
      <c r="C541" s="608"/>
      <c r="D541" s="245"/>
      <c r="E541" s="554"/>
      <c r="F541" s="31"/>
      <c r="G541" s="238"/>
      <c r="H541" s="238"/>
      <c r="I541" s="31"/>
      <c r="J541" s="31"/>
      <c r="K541" s="239"/>
      <c r="L541" s="239"/>
      <c r="M541" s="31"/>
      <c r="N541" s="31"/>
      <c r="O541" s="112"/>
      <c r="P541" s="31"/>
      <c r="Q541" s="31"/>
      <c r="R541" s="134"/>
      <c r="S541" s="134"/>
      <c r="T541" s="609"/>
      <c r="U541" s="610"/>
      <c r="AC541" s="196"/>
      <c r="AD541" s="624" t="s">
        <v>670</v>
      </c>
      <c r="AE541" s="614" t="s">
        <v>671</v>
      </c>
      <c r="AF541" s="614" t="s">
        <v>672</v>
      </c>
      <c r="AG541" s="613">
        <v>0.6</v>
      </c>
      <c r="AH541" s="613">
        <f>(($Q$116*100/19.6)+$AG$541)*19.6%</f>
        <v>8.36136</v>
      </c>
      <c r="AI541" s="613">
        <f>(($R$116*100/13)+$AG$541)*13%</f>
        <v>5.545800000000002</v>
      </c>
      <c r="AJ541" s="623">
        <v>5919</v>
      </c>
      <c r="AK541" s="31"/>
      <c r="AL541" s="31"/>
      <c r="AM541" s="31"/>
      <c r="AN541" s="31"/>
      <c r="AO541" s="31"/>
      <c r="AP541" s="31"/>
      <c r="AQ541" s="31"/>
      <c r="AR541" s="31"/>
      <c r="AS541" s="31"/>
      <c r="AT541" s="31"/>
      <c r="AU541" s="31"/>
      <c r="AV541" s="31"/>
      <c r="AW541" s="31"/>
      <c r="AX541" s="31"/>
      <c r="AY541" s="31"/>
      <c r="AZ541" s="31"/>
      <c r="BA541" s="31"/>
      <c r="BB541" s="31"/>
      <c r="BC541" s="31"/>
      <c r="BD541" s="31"/>
      <c r="BE541" s="31"/>
      <c r="BF541" s="31"/>
      <c r="BG541" s="31"/>
      <c r="BH541" s="31"/>
    </row>
    <row r="542" spans="1:60" ht="12.75">
      <c r="A542" s="245"/>
      <c r="B542" s="608"/>
      <c r="C542" s="608"/>
      <c r="D542" s="245"/>
      <c r="E542" s="554"/>
      <c r="F542" s="31"/>
      <c r="G542" s="238"/>
      <c r="H542" s="238"/>
      <c r="I542" s="31"/>
      <c r="J542" s="31"/>
      <c r="K542" s="239"/>
      <c r="L542" s="239"/>
      <c r="M542" s="31"/>
      <c r="N542" s="31"/>
      <c r="O542" s="112"/>
      <c r="P542" s="31"/>
      <c r="Q542" s="31"/>
      <c r="R542" s="134"/>
      <c r="S542" s="134"/>
      <c r="T542" s="609"/>
      <c r="U542" s="610"/>
      <c r="AC542" s="196"/>
      <c r="AD542" s="628" t="s">
        <v>673</v>
      </c>
      <c r="AE542" s="617" t="s">
        <v>674</v>
      </c>
      <c r="AF542" s="617"/>
      <c r="AG542" s="616"/>
      <c r="AH542" s="616"/>
      <c r="AI542" s="616"/>
      <c r="AJ542" s="623"/>
      <c r="AK542" s="31"/>
      <c r="AL542" s="31"/>
      <c r="AM542" s="31"/>
      <c r="AN542" s="31"/>
      <c r="AO542" s="31"/>
      <c r="AP542" s="31"/>
      <c r="AQ542" s="31"/>
      <c r="AR542" s="31"/>
      <c r="AS542" s="31"/>
      <c r="AT542" s="31"/>
      <c r="AU542" s="31"/>
      <c r="AV542" s="31"/>
      <c r="AW542" s="31"/>
      <c r="AX542" s="31"/>
      <c r="AY542" s="31"/>
      <c r="AZ542" s="31"/>
      <c r="BA542" s="31"/>
      <c r="BB542" s="31"/>
      <c r="BC542" s="31"/>
      <c r="BD542" s="31"/>
      <c r="BE542" s="31"/>
      <c r="BF542" s="31"/>
      <c r="BG542" s="31"/>
      <c r="BH542" s="31"/>
    </row>
    <row r="543" spans="1:60" ht="12.75">
      <c r="A543" s="245"/>
      <c r="B543" s="608"/>
      <c r="C543" s="608"/>
      <c r="D543" s="245"/>
      <c r="E543" s="554"/>
      <c r="F543" s="31"/>
      <c r="G543" s="238"/>
      <c r="H543" s="238"/>
      <c r="I543" s="31"/>
      <c r="J543" s="31"/>
      <c r="K543" s="239"/>
      <c r="L543" s="239"/>
      <c r="M543" s="31"/>
      <c r="N543" s="31"/>
      <c r="O543" s="112"/>
      <c r="P543" s="31"/>
      <c r="Q543" s="31"/>
      <c r="R543" s="134"/>
      <c r="S543" s="134"/>
      <c r="T543" s="609"/>
      <c r="U543" s="610"/>
      <c r="AC543" s="196"/>
      <c r="AD543" s="630" t="s">
        <v>675</v>
      </c>
      <c r="AE543" s="631" t="s">
        <v>676</v>
      </c>
      <c r="AF543" s="631" t="s">
        <v>677</v>
      </c>
      <c r="AG543" s="632">
        <v>0.6</v>
      </c>
      <c r="AH543" s="620">
        <f>(($Q$118*100/19.6)+$AG$543)*19.6%</f>
        <v>19.411839999999998</v>
      </c>
      <c r="AI543" s="620">
        <f>(($R$118*100/13)+$AG$543)*13%</f>
        <v>12.8752</v>
      </c>
      <c r="AJ543" s="623">
        <v>5905</v>
      </c>
      <c r="AK543" s="31"/>
      <c r="AL543" s="31"/>
      <c r="AM543" s="31"/>
      <c r="AN543" s="31"/>
      <c r="AO543" s="31"/>
      <c r="AP543" s="31"/>
      <c r="AQ543" s="31"/>
      <c r="AR543" s="31"/>
      <c r="AS543" s="31"/>
      <c r="AT543" s="31"/>
      <c r="AU543" s="31"/>
      <c r="AV543" s="31"/>
      <c r="AW543" s="31"/>
      <c r="AX543" s="31"/>
      <c r="AY543" s="31"/>
      <c r="AZ543" s="31"/>
      <c r="BA543" s="31"/>
      <c r="BB543" s="31"/>
      <c r="BC543" s="31"/>
      <c r="BD543" s="31"/>
      <c r="BE543" s="31"/>
      <c r="BF543" s="31"/>
      <c r="BG543" s="31"/>
      <c r="BH543" s="31"/>
    </row>
    <row r="544" spans="1:60" ht="12.75">
      <c r="A544" s="245"/>
      <c r="B544" s="608"/>
      <c r="C544" s="608"/>
      <c r="D544" s="245"/>
      <c r="E544" s="554"/>
      <c r="F544" s="31"/>
      <c r="G544" s="238"/>
      <c r="H544" s="238"/>
      <c r="I544" s="31"/>
      <c r="J544" s="31"/>
      <c r="K544" s="239"/>
      <c r="L544" s="239"/>
      <c r="M544" s="31"/>
      <c r="N544" s="31"/>
      <c r="O544" s="112"/>
      <c r="P544" s="31"/>
      <c r="Q544" s="31"/>
      <c r="R544" s="134"/>
      <c r="S544" s="134"/>
      <c r="T544" s="609"/>
      <c r="U544" s="610"/>
      <c r="AC544" s="196"/>
      <c r="AD544" s="633" t="s">
        <v>678</v>
      </c>
      <c r="AE544" s="618" t="s">
        <v>679</v>
      </c>
      <c r="AF544" s="618" t="s">
        <v>680</v>
      </c>
      <c r="AG544" s="620">
        <v>0.6</v>
      </c>
      <c r="AH544" s="620">
        <f>(($Q$138*100/19.6)+$AG$544)*19.6%</f>
        <v>16.034760000000002</v>
      </c>
      <c r="AI544" s="620">
        <f>(($R$138*100/13)+$AG$544)*13%</f>
        <v>10.635300000000003</v>
      </c>
      <c r="AJ544" s="623">
        <v>5950</v>
      </c>
      <c r="AK544" s="31"/>
      <c r="AL544" s="31"/>
      <c r="AM544" s="31"/>
      <c r="AN544" s="31"/>
      <c r="AO544" s="31"/>
      <c r="AP544" s="31"/>
      <c r="AQ544" s="31"/>
      <c r="AR544" s="31"/>
      <c r="AS544" s="31"/>
      <c r="AT544" s="31"/>
      <c r="AU544" s="31"/>
      <c r="AV544" s="31"/>
      <c r="AW544" s="31"/>
      <c r="AX544" s="31"/>
      <c r="AY544" s="31"/>
      <c r="AZ544" s="31"/>
      <c r="BA544" s="31"/>
      <c r="BB544" s="31"/>
      <c r="BC544" s="31"/>
      <c r="BD544" s="31"/>
      <c r="BE544" s="31"/>
      <c r="BF544" s="31"/>
      <c r="BG544" s="31"/>
      <c r="BH544" s="31"/>
    </row>
    <row r="545" spans="1:60" ht="12.75">
      <c r="A545" s="245"/>
      <c r="B545" s="608"/>
      <c r="C545" s="608"/>
      <c r="D545" s="245"/>
      <c r="E545" s="554"/>
      <c r="F545" s="31"/>
      <c r="G545" s="238"/>
      <c r="H545" s="238"/>
      <c r="I545" s="31"/>
      <c r="J545" s="31"/>
      <c r="K545" s="239"/>
      <c r="L545" s="239"/>
      <c r="M545" s="31"/>
      <c r="N545" s="31"/>
      <c r="O545" s="112"/>
      <c r="P545" s="31"/>
      <c r="Q545" s="31"/>
      <c r="R545" s="134"/>
      <c r="S545" s="134"/>
      <c r="T545" s="609"/>
      <c r="U545" s="610"/>
      <c r="AC545" s="196"/>
      <c r="AD545" s="624" t="s">
        <v>681</v>
      </c>
      <c r="AE545" s="614" t="s">
        <v>682</v>
      </c>
      <c r="AF545" s="614" t="s">
        <v>683</v>
      </c>
      <c r="AG545" s="613">
        <v>0.42</v>
      </c>
      <c r="AH545" s="613">
        <f>(($Q$141*100/19.6)+$AG$545)*19.6%</f>
        <v>8.937600000000002</v>
      </c>
      <c r="AI545" s="613">
        <f>(($R$141*100/13)+$AG$545)*13%</f>
        <v>5.928000000000003</v>
      </c>
      <c r="AJ545" s="623">
        <v>5921</v>
      </c>
      <c r="AK545" s="31"/>
      <c r="AL545" s="31"/>
      <c r="AM545" s="31"/>
      <c r="AN545" s="31"/>
      <c r="AO545" s="31"/>
      <c r="AP545" s="31"/>
      <c r="AQ545" s="31"/>
      <c r="AR545" s="31"/>
      <c r="AS545" s="31"/>
      <c r="AT545" s="31"/>
      <c r="AU545" s="31"/>
      <c r="AV545" s="31"/>
      <c r="AW545" s="31"/>
      <c r="AX545" s="31"/>
      <c r="AY545" s="31"/>
      <c r="AZ545" s="31"/>
      <c r="BA545" s="31"/>
      <c r="BB545" s="31"/>
      <c r="BC545" s="31"/>
      <c r="BD545" s="31"/>
      <c r="BE545" s="31"/>
      <c r="BF545" s="31"/>
      <c r="BG545" s="31"/>
      <c r="BH545" s="31"/>
    </row>
    <row r="546" spans="1:60" ht="12.75">
      <c r="A546" s="245"/>
      <c r="B546" s="608"/>
      <c r="C546" s="608"/>
      <c r="D546" s="245"/>
      <c r="E546" s="554"/>
      <c r="F546" s="31"/>
      <c r="G546" s="238"/>
      <c r="H546" s="238"/>
      <c r="I546" s="31"/>
      <c r="J546" s="31"/>
      <c r="K546" s="239"/>
      <c r="L546" s="239"/>
      <c r="M546" s="31"/>
      <c r="N546" s="31"/>
      <c r="O546" s="112"/>
      <c r="P546" s="31"/>
      <c r="Q546" s="31"/>
      <c r="R546" s="134"/>
      <c r="S546" s="134"/>
      <c r="T546" s="609"/>
      <c r="U546" s="610"/>
      <c r="AC546" s="196"/>
      <c r="AD546" s="628"/>
      <c r="AE546" s="617" t="s">
        <v>684</v>
      </c>
      <c r="AF546" s="617"/>
      <c r="AG546" s="616"/>
      <c r="AH546" s="616"/>
      <c r="AI546" s="616"/>
      <c r="AJ546" s="623"/>
      <c r="AK546" s="31"/>
      <c r="AL546" s="31"/>
      <c r="AM546" s="31"/>
      <c r="AN546" s="31"/>
      <c r="AO546" s="31"/>
      <c r="AP546" s="31"/>
      <c r="AQ546" s="31"/>
      <c r="AR546" s="31"/>
      <c r="AS546" s="31"/>
      <c r="AT546" s="31"/>
      <c r="AU546" s="31"/>
      <c r="AV546" s="31"/>
      <c r="AW546" s="31"/>
      <c r="AX546" s="31"/>
      <c r="AY546" s="31"/>
      <c r="AZ546" s="31"/>
      <c r="BA546" s="31"/>
      <c r="BB546" s="31"/>
      <c r="BC546" s="31"/>
      <c r="BD546" s="31"/>
      <c r="BE546" s="31"/>
      <c r="BF546" s="31"/>
      <c r="BG546" s="31"/>
      <c r="BH546" s="31"/>
    </row>
    <row r="547" spans="1:60" ht="12.75">
      <c r="A547" s="245"/>
      <c r="B547" s="608"/>
      <c r="C547" s="608"/>
      <c r="D547" s="245"/>
      <c r="E547" s="554"/>
      <c r="F547" s="31"/>
      <c r="G547" s="238"/>
      <c r="H547" s="238"/>
      <c r="I547" s="31"/>
      <c r="J547" s="31"/>
      <c r="K547" s="239"/>
      <c r="L547" s="239"/>
      <c r="M547" s="31"/>
      <c r="N547" s="31"/>
      <c r="O547" s="112"/>
      <c r="P547" s="31"/>
      <c r="Q547" s="31"/>
      <c r="R547" s="134"/>
      <c r="S547" s="134"/>
      <c r="T547" s="609"/>
      <c r="U547" s="610"/>
      <c r="AC547" s="196"/>
      <c r="AD547" s="633" t="s">
        <v>685</v>
      </c>
      <c r="AE547" s="618" t="s">
        <v>686</v>
      </c>
      <c r="AF547" s="618" t="s">
        <v>687</v>
      </c>
      <c r="AG547" s="620">
        <v>0.42</v>
      </c>
      <c r="AH547" s="620">
        <f>(($Q$143*100/19.6)+$AG$547)*19.6%</f>
        <v>15.999480000000002</v>
      </c>
      <c r="AI547" s="620">
        <f>(($R$143*100/13)+$AG$547)*13%</f>
        <v>10.611900000000004</v>
      </c>
      <c r="AJ547" s="623">
        <v>5925</v>
      </c>
      <c r="AK547" s="31"/>
      <c r="AL547" s="31"/>
      <c r="AM547" s="31"/>
      <c r="AN547" s="31"/>
      <c r="AO547" s="31"/>
      <c r="AP547" s="31"/>
      <c r="AQ547" s="31"/>
      <c r="AR547" s="31"/>
      <c r="AS547" s="31"/>
      <c r="AT547" s="31"/>
      <c r="AU547" s="31"/>
      <c r="AV547" s="31"/>
      <c r="AW547" s="31"/>
      <c r="AX547" s="31"/>
      <c r="AY547" s="31"/>
      <c r="AZ547" s="31"/>
      <c r="BA547" s="31"/>
      <c r="BB547" s="31"/>
      <c r="BC547" s="31"/>
      <c r="BD547" s="31"/>
      <c r="BE547" s="31"/>
      <c r="BF547" s="31"/>
      <c r="BG547" s="31"/>
      <c r="BH547" s="31"/>
    </row>
    <row r="548" spans="1:60" ht="12.75">
      <c r="A548" s="245"/>
      <c r="B548" s="608"/>
      <c r="C548" s="608"/>
      <c r="D548" s="245"/>
      <c r="E548" s="554"/>
      <c r="F548" s="31"/>
      <c r="G548" s="238"/>
      <c r="H548" s="238"/>
      <c r="I548" s="31"/>
      <c r="J548" s="31"/>
      <c r="K548" s="239"/>
      <c r="L548" s="239"/>
      <c r="M548" s="31"/>
      <c r="N548" s="31"/>
      <c r="O548" s="112"/>
      <c r="P548" s="31"/>
      <c r="Q548" s="31"/>
      <c r="R548" s="134"/>
      <c r="S548" s="134"/>
      <c r="T548" s="609"/>
      <c r="U548" s="610"/>
      <c r="AC548" s="196"/>
      <c r="AD548" s="624" t="s">
        <v>688</v>
      </c>
      <c r="AE548" s="614" t="s">
        <v>689</v>
      </c>
      <c r="AF548" s="614" t="s">
        <v>690</v>
      </c>
      <c r="AG548" s="613">
        <v>0.42</v>
      </c>
      <c r="AH548" s="613">
        <f>(($Q$156*100/19.6)+$AG$548)*19.6%</f>
        <v>8.708280000000002</v>
      </c>
      <c r="AI548" s="613">
        <f>(($R$156*100/13)+$AG$548)*13%</f>
        <v>5.775900000000001</v>
      </c>
      <c r="AJ548" s="623">
        <v>5936</v>
      </c>
      <c r="AK548" s="31"/>
      <c r="AL548" s="31"/>
      <c r="AM548" s="31"/>
      <c r="AN548" s="31"/>
      <c r="AO548" s="31"/>
      <c r="AP548" s="31"/>
      <c r="AQ548" s="31"/>
      <c r="AR548" s="31"/>
      <c r="AS548" s="31"/>
      <c r="AT548" s="31"/>
      <c r="AU548" s="31"/>
      <c r="AV548" s="31"/>
      <c r="AW548" s="31"/>
      <c r="AX548" s="31"/>
      <c r="AY548" s="31"/>
      <c r="AZ548" s="31"/>
      <c r="BA548" s="31"/>
      <c r="BB548" s="31"/>
      <c r="BC548" s="31"/>
      <c r="BD548" s="31"/>
      <c r="BE548" s="31"/>
      <c r="BF548" s="31"/>
      <c r="BG548" s="31"/>
      <c r="BH548" s="31"/>
    </row>
    <row r="549" spans="1:60" ht="12.75">
      <c r="A549" s="245"/>
      <c r="B549" s="608"/>
      <c r="C549" s="608"/>
      <c r="D549" s="245"/>
      <c r="E549" s="554"/>
      <c r="F549" s="31"/>
      <c r="G549" s="238"/>
      <c r="H549" s="238"/>
      <c r="I549" s="31"/>
      <c r="J549" s="31"/>
      <c r="K549" s="239"/>
      <c r="L549" s="239"/>
      <c r="M549" s="31"/>
      <c r="N549" s="31"/>
      <c r="O549" s="112"/>
      <c r="P549" s="31"/>
      <c r="Q549" s="31"/>
      <c r="R549" s="134"/>
      <c r="S549" s="134"/>
      <c r="T549" s="609"/>
      <c r="U549" s="610"/>
      <c r="AC549" s="196"/>
      <c r="AD549" s="628"/>
      <c r="AE549" s="617"/>
      <c r="AF549" s="617"/>
      <c r="AG549" s="616"/>
      <c r="AH549" s="616"/>
      <c r="AI549" s="616"/>
      <c r="AJ549" s="623"/>
      <c r="AK549" s="31"/>
      <c r="AL549" s="31"/>
      <c r="AM549" s="31"/>
      <c r="AN549" s="31"/>
      <c r="AO549" s="31"/>
      <c r="AP549" s="31"/>
      <c r="AQ549" s="31"/>
      <c r="AR549" s="31"/>
      <c r="AS549" s="31"/>
      <c r="AT549" s="31"/>
      <c r="AU549" s="31"/>
      <c r="AV549" s="31"/>
      <c r="AW549" s="31"/>
      <c r="AX549" s="31"/>
      <c r="AY549" s="31"/>
      <c r="AZ549" s="31"/>
      <c r="BA549" s="31"/>
      <c r="BB549" s="31"/>
      <c r="BC549" s="31"/>
      <c r="BD549" s="31"/>
      <c r="BE549" s="31"/>
      <c r="BF549" s="31"/>
      <c r="BG549" s="31"/>
      <c r="BH549" s="31"/>
    </row>
    <row r="550" spans="1:60" ht="12.75">
      <c r="A550" s="245"/>
      <c r="B550" s="608"/>
      <c r="C550" s="608"/>
      <c r="D550" s="245"/>
      <c r="E550" s="554"/>
      <c r="F550" s="31"/>
      <c r="G550" s="238"/>
      <c r="H550" s="238"/>
      <c r="I550" s="31"/>
      <c r="J550" s="31"/>
      <c r="K550" s="239"/>
      <c r="L550" s="239"/>
      <c r="M550" s="31"/>
      <c r="N550" s="31"/>
      <c r="O550" s="112"/>
      <c r="P550" s="31"/>
      <c r="Q550" s="31"/>
      <c r="R550" s="134"/>
      <c r="S550" s="134"/>
      <c r="T550" s="609"/>
      <c r="U550" s="610"/>
      <c r="AC550" s="196"/>
      <c r="AD550" s="624" t="s">
        <v>691</v>
      </c>
      <c r="AE550" s="614" t="s">
        <v>692</v>
      </c>
      <c r="AF550" s="614" t="s">
        <v>693</v>
      </c>
      <c r="AG550" s="613">
        <v>0.42</v>
      </c>
      <c r="AH550" s="613">
        <f>(($Q$163*100/19.6)+$AG$550)*19.6%</f>
        <v>8.951319999999999</v>
      </c>
      <c r="AI550" s="613">
        <f>(($R$163*100/13)+$AG$550)*13%</f>
        <v>5.9371</v>
      </c>
      <c r="AJ550" s="623">
        <v>5911</v>
      </c>
      <c r="AK550" s="31"/>
      <c r="AL550" s="31"/>
      <c r="AM550" s="31"/>
      <c r="AN550" s="31"/>
      <c r="AO550" s="31"/>
      <c r="AP550" s="31"/>
      <c r="AQ550" s="31"/>
      <c r="AR550" s="31"/>
      <c r="AS550" s="31"/>
      <c r="AT550" s="31"/>
      <c r="AU550" s="31"/>
      <c r="AV550" s="31"/>
      <c r="AW550" s="31"/>
      <c r="AX550" s="31"/>
      <c r="AY550" s="31"/>
      <c r="AZ550" s="31"/>
      <c r="BA550" s="31"/>
      <c r="BB550" s="31"/>
      <c r="BC550" s="31"/>
      <c r="BD550" s="31"/>
      <c r="BE550" s="31"/>
      <c r="BF550" s="31"/>
      <c r="BG550" s="31"/>
      <c r="BH550" s="31"/>
    </row>
    <row r="551" spans="1:60" ht="12.75">
      <c r="A551" s="245"/>
      <c r="B551" s="608"/>
      <c r="C551" s="608"/>
      <c r="D551" s="245"/>
      <c r="E551" s="554"/>
      <c r="F551" s="31"/>
      <c r="G551" s="238"/>
      <c r="H551" s="238"/>
      <c r="I551" s="31"/>
      <c r="J551" s="31"/>
      <c r="K551" s="239"/>
      <c r="L551" s="239"/>
      <c r="M551" s="31"/>
      <c r="N551" s="31"/>
      <c r="O551" s="112"/>
      <c r="P551" s="31"/>
      <c r="Q551" s="31"/>
      <c r="R551" s="134"/>
      <c r="S551" s="134"/>
      <c r="T551" s="609"/>
      <c r="U551" s="610"/>
      <c r="AC551" s="196"/>
      <c r="AD551" s="628"/>
      <c r="AE551" s="617"/>
      <c r="AF551" s="617"/>
      <c r="AG551" s="616"/>
      <c r="AH551" s="616"/>
      <c r="AI551" s="616"/>
      <c r="AJ551" s="623"/>
      <c r="AK551" s="31"/>
      <c r="AL551" s="31"/>
      <c r="AM551" s="31"/>
      <c r="AN551" s="31"/>
      <c r="AO551" s="31"/>
      <c r="AP551" s="31"/>
      <c r="AQ551" s="31"/>
      <c r="AR551" s="31"/>
      <c r="AS551" s="31"/>
      <c r="AT551" s="31"/>
      <c r="AU551" s="31"/>
      <c r="AV551" s="31"/>
      <c r="AW551" s="31"/>
      <c r="AX551" s="31"/>
      <c r="AY551" s="31"/>
      <c r="AZ551" s="31"/>
      <c r="BA551" s="31"/>
      <c r="BB551" s="31"/>
      <c r="BC551" s="31"/>
      <c r="BD551" s="31"/>
      <c r="BE551" s="31"/>
      <c r="BF551" s="31"/>
      <c r="BG551" s="31"/>
      <c r="BH551" s="31"/>
    </row>
    <row r="552" spans="1:60" ht="12.75">
      <c r="A552" s="245"/>
      <c r="B552" s="608"/>
      <c r="C552" s="608"/>
      <c r="D552" s="245"/>
      <c r="E552" s="554"/>
      <c r="F552" s="31"/>
      <c r="G552" s="238"/>
      <c r="H552" s="238"/>
      <c r="I552" s="31"/>
      <c r="J552" s="31"/>
      <c r="K552" s="239"/>
      <c r="L552" s="239"/>
      <c r="M552" s="31"/>
      <c r="N552" s="31"/>
      <c r="O552" s="112"/>
      <c r="P552" s="31"/>
      <c r="Q552" s="31"/>
      <c r="R552" s="134"/>
      <c r="S552" s="134"/>
      <c r="T552" s="609"/>
      <c r="U552" s="610"/>
      <c r="AC552" s="196"/>
      <c r="AD552" s="624" t="s">
        <v>694</v>
      </c>
      <c r="AE552" s="614" t="s">
        <v>695</v>
      </c>
      <c r="AF552" s="614" t="s">
        <v>696</v>
      </c>
      <c r="AG552" s="613">
        <v>0.42</v>
      </c>
      <c r="AH552" s="613">
        <f>(($Q$160*100/19.6)+$AG$552)*19.6%</f>
        <v>15.770159999999999</v>
      </c>
      <c r="AI552" s="613">
        <f>(($R$160*100/13)+$AG$552)*13%</f>
        <v>10.4598</v>
      </c>
      <c r="AJ552" s="623">
        <v>5937</v>
      </c>
      <c r="AK552" s="31"/>
      <c r="AL552" s="31"/>
      <c r="AM552" s="31"/>
      <c r="AN552" s="31"/>
      <c r="AO552" s="31"/>
      <c r="AP552" s="31"/>
      <c r="AQ552" s="31"/>
      <c r="AR552" s="31"/>
      <c r="AS552" s="31"/>
      <c r="AT552" s="31"/>
      <c r="AU552" s="31"/>
      <c r="AV552" s="31"/>
      <c r="AW552" s="31"/>
      <c r="AX552" s="31"/>
      <c r="AY552" s="31"/>
      <c r="AZ552" s="31"/>
      <c r="BA552" s="31"/>
      <c r="BB552" s="31"/>
      <c r="BC552" s="31"/>
      <c r="BD552" s="31"/>
      <c r="BE552" s="31"/>
      <c r="BF552" s="31"/>
      <c r="BG552" s="31"/>
      <c r="BH552" s="31"/>
    </row>
    <row r="553" spans="1:60" ht="12.75">
      <c r="A553" s="245"/>
      <c r="B553" s="608"/>
      <c r="C553" s="608"/>
      <c r="D553" s="245"/>
      <c r="E553" s="554"/>
      <c r="F553" s="31"/>
      <c r="G553" s="238"/>
      <c r="H553" s="238"/>
      <c r="I553" s="31"/>
      <c r="J553" s="31"/>
      <c r="K553" s="239"/>
      <c r="L553" s="239"/>
      <c r="M553" s="31"/>
      <c r="N553" s="31"/>
      <c r="O553" s="112"/>
      <c r="P553" s="31"/>
      <c r="Q553" s="31"/>
      <c r="R553" s="134"/>
      <c r="S553" s="134"/>
      <c r="T553" s="609"/>
      <c r="U553" s="610"/>
      <c r="AC553" s="196"/>
      <c r="AD553" s="628"/>
      <c r="AE553" s="617" t="s">
        <v>697</v>
      </c>
      <c r="AF553" s="617"/>
      <c r="AG553" s="616"/>
      <c r="AH553" s="616"/>
      <c r="AI553" s="616"/>
      <c r="AJ553" s="623"/>
      <c r="AK553" s="31"/>
      <c r="AL553" s="31"/>
      <c r="AM553" s="31"/>
      <c r="AN553" s="31"/>
      <c r="AO553" s="31"/>
      <c r="AP553" s="31"/>
      <c r="AQ553" s="31"/>
      <c r="AR553" s="31"/>
      <c r="AS553" s="31"/>
      <c r="AT553" s="31"/>
      <c r="AU553" s="31"/>
      <c r="AV553" s="31"/>
      <c r="AW553" s="31"/>
      <c r="AX553" s="31"/>
      <c r="AY553" s="31"/>
      <c r="AZ553" s="31"/>
      <c r="BA553" s="31"/>
      <c r="BB553" s="31"/>
      <c r="BC553" s="31"/>
      <c r="BD553" s="31"/>
      <c r="BE553" s="31"/>
      <c r="BF553" s="31"/>
      <c r="BG553" s="31"/>
      <c r="BH553" s="31"/>
    </row>
    <row r="554" spans="1:60" ht="12.75">
      <c r="A554" s="245"/>
      <c r="B554" s="608"/>
      <c r="C554" s="608"/>
      <c r="D554" s="245"/>
      <c r="E554" s="554"/>
      <c r="F554" s="31"/>
      <c r="G554" s="238"/>
      <c r="H554" s="238"/>
      <c r="I554" s="31"/>
      <c r="J554" s="31"/>
      <c r="K554" s="239"/>
      <c r="L554" s="239"/>
      <c r="M554" s="31"/>
      <c r="N554" s="31"/>
      <c r="O554" s="112"/>
      <c r="P554" s="31"/>
      <c r="Q554" s="31"/>
      <c r="R554" s="134"/>
      <c r="S554" s="134"/>
      <c r="T554" s="609"/>
      <c r="U554" s="610"/>
      <c r="AC554" s="196"/>
      <c r="AD554" s="619" t="s">
        <v>698</v>
      </c>
      <c r="AE554" s="618" t="s">
        <v>699</v>
      </c>
      <c r="AF554" s="618" t="s">
        <v>700</v>
      </c>
      <c r="AG554" s="620">
        <v>0.42</v>
      </c>
      <c r="AH554" s="620">
        <f>(($Q$165*100/19.6)+$AG$554)*19.6%</f>
        <v>16.28564</v>
      </c>
      <c r="AI554" s="620">
        <f>(($R$165*100/13)+$AG$554)*13%</f>
        <v>10.8017</v>
      </c>
      <c r="AJ554" s="623">
        <v>5934</v>
      </c>
      <c r="AK554" s="31"/>
      <c r="AL554" s="31"/>
      <c r="AM554" s="31"/>
      <c r="AN554" s="31"/>
      <c r="AO554" s="31"/>
      <c r="AP554" s="31"/>
      <c r="AQ554" s="31"/>
      <c r="AR554" s="31"/>
      <c r="AS554" s="31"/>
      <c r="AT554" s="31"/>
      <c r="AU554" s="31"/>
      <c r="AV554" s="31"/>
      <c r="AW554" s="31"/>
      <c r="AX554" s="31"/>
      <c r="AY554" s="31"/>
      <c r="AZ554" s="31"/>
      <c r="BA554" s="31"/>
      <c r="BB554" s="31"/>
      <c r="BC554" s="31"/>
      <c r="BD554" s="31"/>
      <c r="BE554" s="31"/>
      <c r="BF554" s="31"/>
      <c r="BG554" s="31"/>
      <c r="BH554" s="31"/>
    </row>
    <row r="555" spans="1:60" ht="12.75">
      <c r="A555" s="245"/>
      <c r="B555" s="608"/>
      <c r="C555" s="608"/>
      <c r="D555" s="245"/>
      <c r="E555" s="554"/>
      <c r="F555" s="31"/>
      <c r="G555" s="238"/>
      <c r="H555" s="238"/>
      <c r="I555" s="31"/>
      <c r="J555" s="31"/>
      <c r="K555" s="239"/>
      <c r="L555" s="239"/>
      <c r="M555" s="31"/>
      <c r="N555" s="31"/>
      <c r="O555" s="112"/>
      <c r="P555" s="31"/>
      <c r="Q555" s="31"/>
      <c r="R555" s="134"/>
      <c r="S555" s="134"/>
      <c r="T555" s="609"/>
      <c r="U555" s="610"/>
      <c r="AC555" s="196"/>
      <c r="AD555" s="633" t="s">
        <v>701</v>
      </c>
      <c r="AE555" s="618" t="s">
        <v>702</v>
      </c>
      <c r="AF555" s="618" t="s">
        <v>703</v>
      </c>
      <c r="AG555" s="620">
        <v>0.42</v>
      </c>
      <c r="AH555" s="620">
        <f>(($Q$168*100/19.6)+$AG$555)*19.6%</f>
        <v>16.28564</v>
      </c>
      <c r="AI555" s="620">
        <f>(($R$168*100/13)+$AG$555)*13%</f>
        <v>10.8017</v>
      </c>
      <c r="AJ555" s="623">
        <v>5934</v>
      </c>
      <c r="AK555" s="31"/>
      <c r="AL555" s="31"/>
      <c r="AM555" s="31"/>
      <c r="AN555" s="31"/>
      <c r="AO555" s="31"/>
      <c r="AP555" s="31"/>
      <c r="AQ555" s="31"/>
      <c r="AR555" s="31"/>
      <c r="AS555" s="31"/>
      <c r="AT555" s="31"/>
      <c r="AU555" s="31"/>
      <c r="AV555" s="31"/>
      <c r="AW555" s="31"/>
      <c r="AX555" s="31"/>
      <c r="AY555" s="31"/>
      <c r="AZ555" s="31"/>
      <c r="BA555" s="31"/>
      <c r="BB555" s="31"/>
      <c r="BC555" s="31"/>
      <c r="BD555" s="31"/>
      <c r="BE555" s="31"/>
      <c r="BF555" s="31"/>
      <c r="BG555" s="31"/>
      <c r="BH555" s="31"/>
    </row>
    <row r="556" spans="1:60" ht="12.75">
      <c r="A556" s="245"/>
      <c r="B556" s="608"/>
      <c r="C556" s="608"/>
      <c r="D556" s="245"/>
      <c r="E556" s="554"/>
      <c r="F556" s="31"/>
      <c r="G556" s="238"/>
      <c r="H556" s="238"/>
      <c r="I556" s="31"/>
      <c r="J556" s="31"/>
      <c r="K556" s="239"/>
      <c r="L556" s="239"/>
      <c r="M556" s="31"/>
      <c r="N556" s="31"/>
      <c r="O556" s="112"/>
      <c r="P556" s="31"/>
      <c r="Q556" s="31"/>
      <c r="R556" s="134"/>
      <c r="S556" s="134"/>
      <c r="T556" s="609"/>
      <c r="U556" s="610"/>
      <c r="AC556" s="196"/>
      <c r="AD556" s="624" t="s">
        <v>704</v>
      </c>
      <c r="AE556" s="614" t="s">
        <v>705</v>
      </c>
      <c r="AF556" s="614" t="s">
        <v>706</v>
      </c>
      <c r="AG556" s="613">
        <v>0.56</v>
      </c>
      <c r="AH556" s="613">
        <f>(($Q$180*100/19.6)+$AG$556)*19.6%</f>
        <v>4.93332</v>
      </c>
      <c r="AI556" s="613">
        <f>(($R$180*100/13)+$AG$556)*13%</f>
        <v>3.2721</v>
      </c>
      <c r="AJ556" s="623">
        <v>5948</v>
      </c>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row>
    <row r="557" spans="1:60" ht="12.75">
      <c r="A557" s="245"/>
      <c r="B557" s="608"/>
      <c r="C557" s="608"/>
      <c r="D557" s="245"/>
      <c r="E557" s="554"/>
      <c r="F557" s="31"/>
      <c r="G557" s="238"/>
      <c r="H557" s="238"/>
      <c r="I557" s="31"/>
      <c r="J557" s="31"/>
      <c r="K557" s="239"/>
      <c r="L557" s="239"/>
      <c r="M557" s="31"/>
      <c r="N557" s="31"/>
      <c r="O557" s="112"/>
      <c r="P557" s="31"/>
      <c r="Q557" s="31"/>
      <c r="R557" s="134"/>
      <c r="S557" s="134"/>
      <c r="T557" s="609"/>
      <c r="U557" s="610"/>
      <c r="AC557" s="196"/>
      <c r="AD557" s="628"/>
      <c r="AE557" s="617" t="s">
        <v>707</v>
      </c>
      <c r="AF557" s="617"/>
      <c r="AG557" s="616"/>
      <c r="AH557" s="616"/>
      <c r="AI557" s="616"/>
      <c r="AJ557" s="623"/>
      <c r="AK557" s="31"/>
      <c r="AL557" s="31"/>
      <c r="AM557" s="31"/>
      <c r="AN557" s="31"/>
      <c r="AO557" s="31"/>
      <c r="AP557" s="31"/>
      <c r="AQ557" s="31"/>
      <c r="AR557" s="31"/>
      <c r="AS557" s="31"/>
      <c r="AT557" s="31"/>
      <c r="AU557" s="31"/>
      <c r="AV557" s="31"/>
      <c r="AW557" s="31"/>
      <c r="AX557" s="31"/>
      <c r="AY557" s="31"/>
      <c r="AZ557" s="31"/>
      <c r="BA557" s="31"/>
      <c r="BB557" s="31"/>
      <c r="BC557" s="31"/>
      <c r="BD557" s="31"/>
      <c r="BE557" s="31"/>
      <c r="BF557" s="31"/>
      <c r="BG557" s="31"/>
      <c r="BH557" s="31"/>
    </row>
    <row r="558" spans="1:60" ht="12.75">
      <c r="A558" s="245"/>
      <c r="B558" s="608"/>
      <c r="C558" s="608"/>
      <c r="D558" s="245"/>
      <c r="E558" s="554"/>
      <c r="F558" s="31"/>
      <c r="G558" s="238"/>
      <c r="H558" s="238"/>
      <c r="I558" s="31"/>
      <c r="J558" s="31"/>
      <c r="K558" s="239"/>
      <c r="L558" s="239"/>
      <c r="M558" s="31"/>
      <c r="N558" s="31"/>
      <c r="O558" s="112"/>
      <c r="P558" s="31"/>
      <c r="Q558" s="31"/>
      <c r="R558" s="134"/>
      <c r="S558" s="134"/>
      <c r="T558" s="609"/>
      <c r="U558" s="610"/>
      <c r="AC558" s="196"/>
      <c r="AD558" s="628"/>
      <c r="AE558" s="617" t="s">
        <v>708</v>
      </c>
      <c r="AF558" s="617"/>
      <c r="AG558" s="616"/>
      <c r="AH558" s="616"/>
      <c r="AI558" s="616"/>
      <c r="AJ558" s="623"/>
      <c r="AK558" s="31"/>
      <c r="AL558" s="31"/>
      <c r="AM558" s="31"/>
      <c r="AN558" s="31"/>
      <c r="AO558" s="31"/>
      <c r="AP558" s="31"/>
      <c r="AQ558" s="31"/>
      <c r="AR558" s="31"/>
      <c r="AS558" s="31"/>
      <c r="AT558" s="31"/>
      <c r="AU558" s="31"/>
      <c r="AV558" s="31"/>
      <c r="AW558" s="31"/>
      <c r="AX558" s="31"/>
      <c r="AY558" s="31"/>
      <c r="AZ558" s="31"/>
      <c r="BA558" s="31"/>
      <c r="BB558" s="31"/>
      <c r="BC558" s="31"/>
      <c r="BD558" s="31"/>
      <c r="BE558" s="31"/>
      <c r="BF558" s="31"/>
      <c r="BG558" s="31"/>
      <c r="BH558" s="31"/>
    </row>
    <row r="559" spans="1:60" ht="12.75">
      <c r="A559" s="245"/>
      <c r="B559" s="608"/>
      <c r="C559" s="608"/>
      <c r="D559" s="245"/>
      <c r="E559" s="554"/>
      <c r="F559" s="31"/>
      <c r="G559" s="238"/>
      <c r="H559" s="238"/>
      <c r="I559" s="31"/>
      <c r="J559" s="31"/>
      <c r="K559" s="239"/>
      <c r="L559" s="239"/>
      <c r="M559" s="31"/>
      <c r="N559" s="31"/>
      <c r="O559" s="112"/>
      <c r="P559" s="31"/>
      <c r="Q559" s="31"/>
      <c r="R559" s="134"/>
      <c r="S559" s="134"/>
      <c r="T559" s="609"/>
      <c r="U559" s="610"/>
      <c r="AC559" s="196"/>
      <c r="AD559" s="628"/>
      <c r="AE559" s="617" t="s">
        <v>709</v>
      </c>
      <c r="AF559" s="617"/>
      <c r="AG559" s="616"/>
      <c r="AH559" s="616"/>
      <c r="AI559" s="616"/>
      <c r="AJ559" s="623"/>
      <c r="AK559" s="31"/>
      <c r="AL559" s="31"/>
      <c r="AM559" s="31"/>
      <c r="AN559" s="31"/>
      <c r="AO559" s="31"/>
      <c r="AP559" s="31"/>
      <c r="AQ559" s="31"/>
      <c r="AR559" s="31"/>
      <c r="AS559" s="31"/>
      <c r="AT559" s="31"/>
      <c r="AU559" s="31"/>
      <c r="AV559" s="31"/>
      <c r="AW559" s="31"/>
      <c r="AX559" s="31"/>
      <c r="AY559" s="31"/>
      <c r="AZ559" s="31"/>
      <c r="BA559" s="31"/>
      <c r="BB559" s="31"/>
      <c r="BC559" s="31"/>
      <c r="BD559" s="31"/>
      <c r="BE559" s="31"/>
      <c r="BF559" s="31"/>
      <c r="BG559" s="31"/>
      <c r="BH559" s="31"/>
    </row>
    <row r="560" spans="1:60" ht="12.75">
      <c r="A560" s="245"/>
      <c r="B560" s="608"/>
      <c r="C560" s="608"/>
      <c r="D560" s="245"/>
      <c r="E560" s="554"/>
      <c r="F560" s="31"/>
      <c r="G560" s="238"/>
      <c r="H560" s="238"/>
      <c r="I560" s="31"/>
      <c r="J560" s="31"/>
      <c r="K560" s="239"/>
      <c r="L560" s="239"/>
      <c r="M560" s="31"/>
      <c r="N560" s="31"/>
      <c r="O560" s="112"/>
      <c r="P560" s="31"/>
      <c r="Q560" s="31"/>
      <c r="R560" s="134"/>
      <c r="S560" s="134"/>
      <c r="T560" s="609"/>
      <c r="U560" s="610"/>
      <c r="AC560" s="196"/>
      <c r="AD560" s="628"/>
      <c r="AE560" s="617" t="s">
        <v>710</v>
      </c>
      <c r="AF560" s="617"/>
      <c r="AG560" s="616"/>
      <c r="AH560" s="616"/>
      <c r="AI560" s="616"/>
      <c r="AJ560" s="623"/>
      <c r="AK560" s="31"/>
      <c r="AL560" s="31"/>
      <c r="AM560" s="31"/>
      <c r="AN560" s="31"/>
      <c r="AO560" s="31"/>
      <c r="AP560" s="31"/>
      <c r="AQ560" s="31"/>
      <c r="AR560" s="31"/>
      <c r="AS560" s="31"/>
      <c r="AT560" s="31"/>
      <c r="AU560" s="31"/>
      <c r="AV560" s="31"/>
      <c r="AW560" s="31"/>
      <c r="AX560" s="31"/>
      <c r="AY560" s="31"/>
      <c r="AZ560" s="31"/>
      <c r="BA560" s="31"/>
      <c r="BB560" s="31"/>
      <c r="BC560" s="31"/>
      <c r="BD560" s="31"/>
      <c r="BE560" s="31"/>
      <c r="BF560" s="31"/>
      <c r="BG560" s="31"/>
      <c r="BH560" s="31"/>
    </row>
    <row r="561" spans="1:60" ht="12.75">
      <c r="A561" s="245"/>
      <c r="B561" s="608"/>
      <c r="C561" s="608"/>
      <c r="D561" s="245"/>
      <c r="E561" s="554"/>
      <c r="F561" s="31"/>
      <c r="G561" s="238"/>
      <c r="H561" s="238"/>
      <c r="I561" s="31"/>
      <c r="J561" s="31"/>
      <c r="K561" s="239"/>
      <c r="L561" s="239"/>
      <c r="M561" s="31"/>
      <c r="N561" s="31"/>
      <c r="O561" s="112"/>
      <c r="P561" s="31"/>
      <c r="Q561" s="31"/>
      <c r="R561" s="134"/>
      <c r="S561" s="134"/>
      <c r="T561" s="609"/>
      <c r="U561" s="610"/>
      <c r="AC561" s="196"/>
      <c r="AD561" s="625"/>
      <c r="AE561" s="626" t="s">
        <v>711</v>
      </c>
      <c r="AF561" s="626" t="s">
        <v>712</v>
      </c>
      <c r="AG561" s="627">
        <v>0.56</v>
      </c>
      <c r="AH561" s="627">
        <f>(($Q$205*100/19.6)+$AG$561)*19.6%</f>
        <v>4.3806</v>
      </c>
      <c r="AI561" s="627">
        <f>(($R$205*100/13)+$AG$561)*13%</f>
        <v>2.9055000000000004</v>
      </c>
      <c r="AJ561" s="623">
        <v>5932</v>
      </c>
      <c r="AK561" s="31"/>
      <c r="AL561" s="31"/>
      <c r="AM561" s="31"/>
      <c r="AN561" s="31"/>
      <c r="AO561" s="31"/>
      <c r="AP561" s="31"/>
      <c r="AQ561" s="31"/>
      <c r="AR561" s="31"/>
      <c r="AS561" s="31"/>
      <c r="AT561" s="31"/>
      <c r="AU561" s="31"/>
      <c r="AV561" s="31"/>
      <c r="AW561" s="31"/>
      <c r="AX561" s="31"/>
      <c r="AY561" s="31"/>
      <c r="AZ561" s="31"/>
      <c r="BA561" s="31"/>
      <c r="BB561" s="31"/>
      <c r="BC561" s="31"/>
      <c r="BD561" s="31"/>
      <c r="BE561" s="31"/>
      <c r="BF561" s="31"/>
      <c r="BG561" s="31"/>
      <c r="BH561" s="31"/>
    </row>
    <row r="562" spans="4:60" ht="12.75">
      <c r="D562" s="1"/>
      <c r="E562" s="15"/>
      <c r="I562" s="1"/>
      <c r="J562" s="1"/>
      <c r="M562" s="7"/>
      <c r="O562" s="7"/>
      <c r="P562" s="7"/>
      <c r="Q562" s="7"/>
      <c r="R562" s="7"/>
      <c r="S562" s="134"/>
      <c r="AC562" s="196"/>
      <c r="AD562" s="628"/>
      <c r="AE562" s="617" t="s">
        <v>713</v>
      </c>
      <c r="AF562" s="617"/>
      <c r="AG562" s="616"/>
      <c r="AH562" s="616"/>
      <c r="AI562" s="616"/>
      <c r="AJ562" s="623"/>
      <c r="AK562" s="31"/>
      <c r="AL562" s="31"/>
      <c r="AM562" s="31"/>
      <c r="AN562" s="31"/>
      <c r="AO562" s="31"/>
      <c r="AP562" s="31"/>
      <c r="AQ562" s="31"/>
      <c r="AR562" s="31"/>
      <c r="AS562" s="31"/>
      <c r="AT562" s="31"/>
      <c r="AU562" s="31"/>
      <c r="AV562" s="31"/>
      <c r="AW562" s="31"/>
      <c r="AX562" s="31"/>
      <c r="AY562" s="31"/>
      <c r="AZ562" s="31"/>
      <c r="BA562" s="31"/>
      <c r="BB562" s="31"/>
      <c r="BC562" s="31"/>
      <c r="BD562" s="31"/>
      <c r="BE562" s="31"/>
      <c r="BF562" s="31"/>
      <c r="BG562" s="31"/>
      <c r="BH562" s="31"/>
    </row>
    <row r="563" spans="4:60" ht="12.75">
      <c r="D563" s="1"/>
      <c r="E563" s="15"/>
      <c r="I563" s="1"/>
      <c r="J563" s="1"/>
      <c r="M563" s="7"/>
      <c r="O563" s="7"/>
      <c r="P563" s="7"/>
      <c r="Q563" s="7"/>
      <c r="R563" s="7"/>
      <c r="S563" s="134"/>
      <c r="AC563" s="196"/>
      <c r="AJ563" s="615"/>
      <c r="AK563" s="31"/>
      <c r="AL563" s="31"/>
      <c r="AM563" s="31"/>
      <c r="AN563" s="31"/>
      <c r="AO563" s="31"/>
      <c r="AP563" s="31"/>
      <c r="AQ563" s="31"/>
      <c r="AR563" s="31"/>
      <c r="AS563" s="31"/>
      <c r="AT563" s="31"/>
      <c r="AU563" s="31"/>
      <c r="AV563" s="31"/>
      <c r="AW563" s="31"/>
      <c r="AX563" s="31"/>
      <c r="AY563" s="31"/>
      <c r="AZ563" s="31"/>
      <c r="BA563" s="31"/>
      <c r="BB563" s="31"/>
      <c r="BC563" s="31"/>
      <c r="BD563" s="31"/>
      <c r="BE563" s="31"/>
      <c r="BF563" s="31"/>
      <c r="BG563" s="31"/>
      <c r="BH563" s="31"/>
    </row>
    <row r="564" ht="12.75">
      <c r="S564" s="7"/>
    </row>
    <row r="565" ht="12.75">
      <c r="S565" s="7"/>
    </row>
    <row r="566" ht="12.75">
      <c r="S566" s="7"/>
    </row>
    <row r="567" ht="12.75">
      <c r="S567" s="7"/>
    </row>
    <row r="568" ht="12.75">
      <c r="S568" s="7"/>
    </row>
    <row r="569" ht="12.75">
      <c r="S569" s="7"/>
    </row>
    <row r="570" ht="12.75">
      <c r="S570" s="7"/>
    </row>
    <row r="571" ht="12.75">
      <c r="S571" s="7"/>
    </row>
    <row r="572" ht="12.75">
      <c r="S572" s="7"/>
    </row>
    <row r="573" ht="12.75">
      <c r="S573" s="7"/>
    </row>
    <row r="574" ht="12.75">
      <c r="S574" s="7"/>
    </row>
    <row r="575" ht="12.75">
      <c r="S575" s="7"/>
    </row>
    <row r="576" ht="12.75">
      <c r="S576" s="7"/>
    </row>
    <row r="577" ht="12.75">
      <c r="S577" s="7"/>
    </row>
    <row r="578" ht="12.75">
      <c r="S578" s="7"/>
    </row>
    <row r="579" ht="12.75">
      <c r="S579" s="7"/>
    </row>
    <row r="580" ht="12.75">
      <c r="S580" s="7"/>
    </row>
    <row r="581" ht="12.75">
      <c r="S581" s="7"/>
    </row>
    <row r="582" ht="12.75">
      <c r="S582" s="7"/>
    </row>
    <row r="583" ht="12.75">
      <c r="S583" s="7"/>
    </row>
    <row r="584" ht="12.75">
      <c r="S584" s="7"/>
    </row>
    <row r="585" ht="12.75">
      <c r="S585" s="7"/>
    </row>
    <row r="586" ht="12.75">
      <c r="S586" s="7"/>
    </row>
    <row r="587" ht="12.75">
      <c r="S587" s="7"/>
    </row>
    <row r="588" ht="12.75">
      <c r="S588" s="7"/>
    </row>
    <row r="589" ht="12.75">
      <c r="S589" s="7"/>
    </row>
    <row r="590" ht="12.75">
      <c r="S590" s="7"/>
    </row>
    <row r="591" ht="12.75">
      <c r="S591" s="7"/>
    </row>
    <row r="592" ht="12.75">
      <c r="S592" s="7"/>
    </row>
    <row r="593" ht="12.75">
      <c r="S593" s="7"/>
    </row>
    <row r="594" ht="12.75">
      <c r="S594" s="7"/>
    </row>
    <row r="595" ht="12.75">
      <c r="S595" s="7"/>
    </row>
    <row r="596" ht="12.75">
      <c r="S596" s="7"/>
    </row>
    <row r="597" ht="12.75">
      <c r="S597" s="7"/>
    </row>
    <row r="598" ht="12.75">
      <c r="S598" s="7"/>
    </row>
    <row r="599" ht="12.75">
      <c r="S599" s="7"/>
    </row>
    <row r="600" ht="12.75">
      <c r="S600" s="7"/>
    </row>
    <row r="601" ht="12.75">
      <c r="S601" s="7"/>
    </row>
    <row r="602" ht="12.75">
      <c r="S602" s="7"/>
    </row>
    <row r="603" ht="12.75">
      <c r="S603" s="7"/>
    </row>
    <row r="604" ht="12.75">
      <c r="S604" s="7"/>
    </row>
    <row r="605" ht="12.75">
      <c r="S605" s="7"/>
    </row>
    <row r="606" ht="12.75">
      <c r="S606" s="7"/>
    </row>
    <row r="607" ht="12.75">
      <c r="S607" s="7"/>
    </row>
    <row r="608" ht="12.75">
      <c r="S608" s="7"/>
    </row>
    <row r="609" ht="12.75">
      <c r="S609" s="7"/>
    </row>
    <row r="610" ht="12.75">
      <c r="S610" s="7"/>
    </row>
    <row r="611" ht="12.75">
      <c r="S611" s="7"/>
    </row>
    <row r="612" ht="12.75">
      <c r="S612" s="7"/>
    </row>
    <row r="613" ht="12.75">
      <c r="S613" s="7"/>
    </row>
    <row r="614" ht="12.75">
      <c r="S614" s="7"/>
    </row>
    <row r="615" ht="12.75">
      <c r="S615" s="7"/>
    </row>
    <row r="616" ht="12.75">
      <c r="S616" s="7"/>
    </row>
    <row r="617" ht="12.75">
      <c r="S617" s="7"/>
    </row>
    <row r="618" ht="12.75">
      <c r="S618" s="7"/>
    </row>
    <row r="619" ht="12.75">
      <c r="S619" s="7"/>
    </row>
    <row r="620" ht="12.75">
      <c r="S620" s="7"/>
    </row>
    <row r="621" ht="12.75">
      <c r="S621" s="7"/>
    </row>
    <row r="622" ht="12.75">
      <c r="S622" s="7"/>
    </row>
    <row r="623" ht="12.75">
      <c r="S623" s="7"/>
    </row>
    <row r="624" ht="12.75">
      <c r="S624" s="7"/>
    </row>
    <row r="625" ht="12.75">
      <c r="S625" s="7"/>
    </row>
    <row r="626" ht="12.75">
      <c r="S626" s="7"/>
    </row>
    <row r="627" ht="12.75">
      <c r="S627" s="7"/>
    </row>
    <row r="628" ht="12.75">
      <c r="S628" s="7"/>
    </row>
    <row r="629" ht="12.75">
      <c r="S629" s="7"/>
    </row>
    <row r="630" ht="12.75">
      <c r="S630" s="7"/>
    </row>
    <row r="631" ht="12.75">
      <c r="S631" s="7"/>
    </row>
    <row r="632" ht="12.75">
      <c r="S632" s="7"/>
    </row>
    <row r="633" ht="12.75">
      <c r="S633" s="7"/>
    </row>
    <row r="634" ht="12.75">
      <c r="S634" s="7"/>
    </row>
    <row r="635" ht="12.75">
      <c r="S635" s="7"/>
    </row>
    <row r="636" ht="12.75">
      <c r="S636" s="7"/>
    </row>
    <row r="637" ht="12.75">
      <c r="S637" s="7"/>
    </row>
    <row r="638" ht="12.75">
      <c r="S638" s="7"/>
    </row>
    <row r="639" ht="12.75">
      <c r="S639" s="7"/>
    </row>
    <row r="640" ht="12.75">
      <c r="S640" s="7"/>
    </row>
    <row r="641" ht="12.75">
      <c r="S641" s="7"/>
    </row>
    <row r="642" ht="12.75">
      <c r="S642" s="7"/>
    </row>
    <row r="643" ht="12.75">
      <c r="S643" s="7"/>
    </row>
    <row r="644" ht="12.75">
      <c r="S644" s="7"/>
    </row>
    <row r="645" ht="12.75">
      <c r="S645" s="7"/>
    </row>
    <row r="646" ht="12.75">
      <c r="S646" s="7"/>
    </row>
    <row r="647" ht="12.75">
      <c r="S647" s="7"/>
    </row>
    <row r="648" ht="12.75">
      <c r="S648" s="7"/>
    </row>
    <row r="649" ht="12.75">
      <c r="S649" s="7"/>
    </row>
    <row r="650" ht="12.75">
      <c r="S650" s="7"/>
    </row>
    <row r="651" ht="12.75">
      <c r="S651" s="7"/>
    </row>
    <row r="652" ht="12.75">
      <c r="S652" s="7"/>
    </row>
    <row r="653" ht="12.75">
      <c r="S653" s="7"/>
    </row>
    <row r="654" ht="12.75">
      <c r="S654" s="7"/>
    </row>
    <row r="655" ht="12.75">
      <c r="S655" s="7"/>
    </row>
    <row r="656" ht="12.75">
      <c r="S656" s="7"/>
    </row>
    <row r="657" ht="12.75">
      <c r="S657" s="7"/>
    </row>
    <row r="658" ht="12.75">
      <c r="S658" s="7"/>
    </row>
    <row r="659" ht="12.75">
      <c r="S659" s="7"/>
    </row>
    <row r="660" ht="12.75">
      <c r="S660" s="7"/>
    </row>
    <row r="661" ht="12.75">
      <c r="S661" s="7"/>
    </row>
    <row r="662" ht="12.75">
      <c r="S662" s="7"/>
    </row>
    <row r="663" ht="12.75">
      <c r="S663" s="7"/>
    </row>
    <row r="664" ht="12.75">
      <c r="S664" s="7"/>
    </row>
    <row r="665" ht="12.75">
      <c r="S665" s="7"/>
    </row>
    <row r="666" ht="12.75">
      <c r="S666" s="7"/>
    </row>
    <row r="667" ht="12.75">
      <c r="S667" s="7"/>
    </row>
    <row r="668" ht="12.75">
      <c r="S668" s="7"/>
    </row>
    <row r="669" ht="12.75">
      <c r="S669" s="7"/>
    </row>
    <row r="670" ht="12.75">
      <c r="S670" s="7"/>
    </row>
    <row r="671" ht="12.75">
      <c r="S671" s="7"/>
    </row>
    <row r="672" ht="12.75">
      <c r="S672" s="7"/>
    </row>
    <row r="673" ht="12.75">
      <c r="S673" s="7"/>
    </row>
    <row r="674" ht="12.75">
      <c r="S674" s="7"/>
    </row>
    <row r="675" ht="12.75">
      <c r="S675" s="7"/>
    </row>
    <row r="676" ht="12.75">
      <c r="S676" s="7"/>
    </row>
    <row r="677" ht="12.75">
      <c r="S677" s="7"/>
    </row>
    <row r="678" ht="12.75">
      <c r="S678" s="7"/>
    </row>
    <row r="679" ht="12.75">
      <c r="S679" s="7"/>
    </row>
    <row r="680" ht="12.75">
      <c r="S680" s="7"/>
    </row>
    <row r="681" ht="12.75">
      <c r="S681" s="7"/>
    </row>
    <row r="682" ht="12.75">
      <c r="S682" s="7"/>
    </row>
    <row r="683" ht="12.75">
      <c r="S683" s="7"/>
    </row>
    <row r="684" ht="12.75">
      <c r="S684" s="7"/>
    </row>
    <row r="685" ht="12.75">
      <c r="S685" s="7"/>
    </row>
    <row r="686" ht="12.75">
      <c r="S686" s="7"/>
    </row>
    <row r="687" ht="12.75">
      <c r="S687" s="7"/>
    </row>
    <row r="688" ht="12.75">
      <c r="S688" s="7"/>
    </row>
    <row r="689" ht="12.75">
      <c r="S689" s="7"/>
    </row>
    <row r="690" ht="12.75">
      <c r="S690" s="7"/>
    </row>
    <row r="691" ht="12.75">
      <c r="S691" s="7"/>
    </row>
    <row r="692" ht="12.75">
      <c r="S692" s="7"/>
    </row>
    <row r="693" ht="12.75">
      <c r="S693" s="7"/>
    </row>
    <row r="694" ht="12.75">
      <c r="S694" s="7"/>
    </row>
    <row r="695" ht="12.75">
      <c r="S695" s="7"/>
    </row>
    <row r="696" ht="12.75">
      <c r="S696" s="7"/>
    </row>
    <row r="697" ht="12.75">
      <c r="S697" s="7"/>
    </row>
    <row r="698" ht="12.75">
      <c r="S698" s="7"/>
    </row>
    <row r="699" ht="12.75">
      <c r="S699" s="7"/>
    </row>
    <row r="700" ht="12.75">
      <c r="S700" s="7"/>
    </row>
    <row r="701" ht="12.75">
      <c r="S701" s="7"/>
    </row>
    <row r="702" ht="12.75">
      <c r="S702" s="7"/>
    </row>
    <row r="703" ht="12.75">
      <c r="S703" s="7"/>
    </row>
    <row r="704" ht="12.75">
      <c r="S704" s="7"/>
    </row>
    <row r="705" ht="12.75">
      <c r="S705" s="7"/>
    </row>
    <row r="706" ht="12.75">
      <c r="S706" s="7"/>
    </row>
    <row r="707" ht="12.75">
      <c r="S707" s="7"/>
    </row>
    <row r="708" ht="12.75">
      <c r="S708" s="7"/>
    </row>
    <row r="709" ht="12.75">
      <c r="S709" s="7"/>
    </row>
    <row r="710" ht="12.75">
      <c r="S710" s="7"/>
    </row>
    <row r="711" ht="12.75">
      <c r="S711" s="7"/>
    </row>
    <row r="712" ht="12.75">
      <c r="S712" s="7"/>
    </row>
    <row r="713" ht="12.75">
      <c r="S713" s="7"/>
    </row>
    <row r="714" ht="12.75">
      <c r="S714" s="7"/>
    </row>
    <row r="715" ht="12.75">
      <c r="S715" s="7"/>
    </row>
    <row r="716" ht="12.75">
      <c r="S716" s="7"/>
    </row>
    <row r="717" ht="12.75">
      <c r="S717" s="7"/>
    </row>
    <row r="718" ht="12.75">
      <c r="S718" s="7"/>
    </row>
    <row r="719" ht="12.75">
      <c r="S719" s="7"/>
    </row>
    <row r="720" ht="12.75">
      <c r="S720" s="7"/>
    </row>
    <row r="721" ht="12.75">
      <c r="S721" s="7"/>
    </row>
    <row r="722" ht="12.75">
      <c r="S722" s="7"/>
    </row>
    <row r="723" ht="12.75">
      <c r="S723" s="7"/>
    </row>
    <row r="724" ht="12.75">
      <c r="S724" s="7"/>
    </row>
    <row r="725" ht="12.75">
      <c r="S725" s="7"/>
    </row>
    <row r="726" ht="12.75">
      <c r="S726" s="7"/>
    </row>
    <row r="727" ht="12.75">
      <c r="S727" s="7"/>
    </row>
    <row r="728" ht="12.75">
      <c r="S728" s="7"/>
    </row>
    <row r="729" ht="12.75">
      <c r="S729" s="7"/>
    </row>
    <row r="730" ht="12.75">
      <c r="S730" s="7"/>
    </row>
    <row r="731" ht="12.75">
      <c r="S731" s="7"/>
    </row>
    <row r="732" ht="12.75">
      <c r="S732" s="7"/>
    </row>
    <row r="733" ht="12.75">
      <c r="S733" s="7"/>
    </row>
    <row r="734" ht="12.75">
      <c r="S734" s="7"/>
    </row>
    <row r="735" ht="12.75">
      <c r="S735" s="7"/>
    </row>
    <row r="736" ht="12.75">
      <c r="S736" s="7"/>
    </row>
    <row r="737" ht="12.75">
      <c r="S737" s="7"/>
    </row>
    <row r="738" ht="12.75">
      <c r="S738" s="7"/>
    </row>
    <row r="739" ht="12.75">
      <c r="S739" s="7"/>
    </row>
    <row r="740" ht="12.75">
      <c r="S740" s="7"/>
    </row>
    <row r="741" ht="12.75">
      <c r="S741" s="7"/>
    </row>
    <row r="742" ht="12.75">
      <c r="S742" s="7"/>
    </row>
    <row r="743" ht="12.75">
      <c r="S743" s="7"/>
    </row>
    <row r="744" ht="12.75">
      <c r="S744" s="7"/>
    </row>
    <row r="745" ht="12.75">
      <c r="S745" s="7"/>
    </row>
    <row r="746" ht="12.75">
      <c r="S746" s="7"/>
    </row>
    <row r="747" ht="12.75">
      <c r="S747" s="7"/>
    </row>
    <row r="748" ht="12.75">
      <c r="S748" s="7"/>
    </row>
    <row r="749" ht="12.75">
      <c r="S749" s="7"/>
    </row>
    <row r="750" ht="12.75">
      <c r="S750" s="7"/>
    </row>
    <row r="751" ht="12.75">
      <c r="S751" s="7"/>
    </row>
    <row r="752" ht="12.75">
      <c r="S752" s="7"/>
    </row>
    <row r="753" ht="12.75">
      <c r="S753" s="7"/>
    </row>
    <row r="754" ht="12.75">
      <c r="S754" s="7"/>
    </row>
    <row r="755" ht="12.75">
      <c r="S755" s="7"/>
    </row>
    <row r="756" ht="12.75">
      <c r="S756" s="7"/>
    </row>
    <row r="757" ht="12.75">
      <c r="S757" s="7"/>
    </row>
    <row r="758" ht="12.75">
      <c r="S758" s="7"/>
    </row>
    <row r="759" ht="12.75">
      <c r="S759" s="7"/>
    </row>
    <row r="760" ht="12.75">
      <c r="S760" s="7"/>
    </row>
    <row r="761" ht="12.75">
      <c r="S761" s="7"/>
    </row>
    <row r="762" ht="12.75">
      <c r="S762" s="7"/>
    </row>
    <row r="763" ht="12.75">
      <c r="S763" s="7"/>
    </row>
    <row r="764" ht="12.75">
      <c r="S764" s="7"/>
    </row>
    <row r="765" ht="12.75">
      <c r="S765" s="7"/>
    </row>
    <row r="766" ht="12.75">
      <c r="S766" s="7"/>
    </row>
    <row r="767" ht="12.75">
      <c r="S767" s="7"/>
    </row>
    <row r="768" ht="12.75">
      <c r="S768" s="7"/>
    </row>
    <row r="769" ht="12.75">
      <c r="S769" s="7"/>
    </row>
    <row r="770" ht="12.75">
      <c r="S770" s="7"/>
    </row>
    <row r="771" ht="12.75">
      <c r="S771" s="7"/>
    </row>
    <row r="772" ht="12.75">
      <c r="S772" s="7"/>
    </row>
    <row r="773" ht="12.75">
      <c r="S773" s="7"/>
    </row>
    <row r="774" ht="12.75">
      <c r="S774" s="7"/>
    </row>
    <row r="775" ht="12.75">
      <c r="S775" s="7"/>
    </row>
    <row r="776" ht="12.75">
      <c r="S776" s="7"/>
    </row>
    <row r="777" ht="12.75">
      <c r="S777" s="7"/>
    </row>
    <row r="778" ht="12.75">
      <c r="S778" s="7"/>
    </row>
    <row r="779" ht="12.75">
      <c r="S779" s="7"/>
    </row>
    <row r="780" ht="12.75">
      <c r="S780" s="7"/>
    </row>
    <row r="781" ht="12.75">
      <c r="S781" s="7"/>
    </row>
    <row r="782" ht="12.75">
      <c r="S782" s="7"/>
    </row>
    <row r="783" ht="12.75">
      <c r="S783" s="7"/>
    </row>
    <row r="784" ht="12.75">
      <c r="S784" s="7"/>
    </row>
    <row r="785" ht="12.75">
      <c r="S785" s="7"/>
    </row>
    <row r="786" ht="12.75">
      <c r="S786" s="7"/>
    </row>
    <row r="787" ht="12.75">
      <c r="S787" s="7"/>
    </row>
    <row r="788" ht="12.75">
      <c r="S788" s="7"/>
    </row>
    <row r="789" ht="12.75">
      <c r="S789" s="7"/>
    </row>
    <row r="790" ht="12.75">
      <c r="S790" s="7"/>
    </row>
    <row r="791" ht="12.75">
      <c r="S791" s="7"/>
    </row>
    <row r="792" ht="12.75">
      <c r="S792" s="7"/>
    </row>
    <row r="793" ht="12.75">
      <c r="S793" s="7"/>
    </row>
    <row r="794" ht="12.75">
      <c r="S794" s="7"/>
    </row>
    <row r="795" ht="12.75">
      <c r="S795" s="7"/>
    </row>
    <row r="796" ht="12.75">
      <c r="S796" s="7"/>
    </row>
    <row r="797" ht="12.75">
      <c r="S797" s="7"/>
    </row>
    <row r="798" ht="12.75">
      <c r="S798" s="7"/>
    </row>
    <row r="799" ht="12.75">
      <c r="S799" s="7"/>
    </row>
    <row r="800" ht="12.75">
      <c r="S800" s="7"/>
    </row>
    <row r="801" ht="12.75">
      <c r="S801" s="7"/>
    </row>
    <row r="802" ht="12.75">
      <c r="S802" s="7"/>
    </row>
    <row r="803" ht="12.75">
      <c r="S803" s="7"/>
    </row>
    <row r="804" ht="12.75">
      <c r="S804" s="7"/>
    </row>
    <row r="805" ht="12.75">
      <c r="S805" s="7"/>
    </row>
    <row r="806" ht="12.75">
      <c r="S806" s="7"/>
    </row>
    <row r="807" ht="12.75">
      <c r="S807" s="7"/>
    </row>
    <row r="808" ht="12.75">
      <c r="S808" s="7"/>
    </row>
    <row r="809" ht="12.75">
      <c r="S809" s="7"/>
    </row>
    <row r="810" ht="12.75">
      <c r="S810" s="7"/>
    </row>
    <row r="811" ht="12.75">
      <c r="S811" s="7"/>
    </row>
    <row r="812" ht="12.75">
      <c r="S812" s="7"/>
    </row>
    <row r="813" ht="12.75">
      <c r="S813" s="7"/>
    </row>
    <row r="814" ht="12.75">
      <c r="S814" s="7"/>
    </row>
    <row r="815" ht="12.75">
      <c r="S815" s="7"/>
    </row>
    <row r="816" ht="12.75">
      <c r="S816" s="7"/>
    </row>
    <row r="817" ht="12.75">
      <c r="S817" s="7"/>
    </row>
    <row r="818" ht="12.75">
      <c r="S818" s="7"/>
    </row>
    <row r="819" ht="12.75">
      <c r="S819" s="7"/>
    </row>
    <row r="820" ht="12.75">
      <c r="S820" s="7"/>
    </row>
    <row r="821" ht="12.75">
      <c r="S821" s="7"/>
    </row>
    <row r="822" ht="12.75">
      <c r="S822" s="7"/>
    </row>
    <row r="823" ht="12.75">
      <c r="S823" s="7"/>
    </row>
    <row r="824" ht="12.75">
      <c r="S824" s="7"/>
    </row>
    <row r="825" ht="12.75">
      <c r="S825" s="7"/>
    </row>
    <row r="826" ht="12.75">
      <c r="S826" s="7"/>
    </row>
    <row r="827" ht="12.75">
      <c r="S827" s="7"/>
    </row>
    <row r="828" ht="12.75">
      <c r="S828" s="7"/>
    </row>
    <row r="829" ht="12.75">
      <c r="S829" s="7"/>
    </row>
    <row r="830" ht="12.75">
      <c r="S830" s="7"/>
    </row>
    <row r="831" ht="12.75">
      <c r="S831" s="7"/>
    </row>
    <row r="832" ht="12.75">
      <c r="S832" s="7"/>
    </row>
    <row r="833" ht="12.75">
      <c r="S833" s="7"/>
    </row>
    <row r="834" ht="12.75">
      <c r="S834" s="7"/>
    </row>
    <row r="835" ht="12.75">
      <c r="S835" s="7"/>
    </row>
    <row r="836" ht="12.75">
      <c r="S836" s="7"/>
    </row>
    <row r="837" ht="12.75">
      <c r="S837" s="7"/>
    </row>
    <row r="838" ht="12.75">
      <c r="S838" s="7"/>
    </row>
    <row r="839" ht="12.75">
      <c r="S839" s="7"/>
    </row>
    <row r="840" ht="12.75">
      <c r="S840" s="7"/>
    </row>
    <row r="841" ht="12.75">
      <c r="S841" s="7"/>
    </row>
    <row r="842" ht="12.75">
      <c r="S842" s="7"/>
    </row>
    <row r="843" ht="12.75">
      <c r="S843" s="7"/>
    </row>
    <row r="844" ht="12.75">
      <c r="S844" s="7"/>
    </row>
    <row r="845" ht="12.75">
      <c r="S845" s="7"/>
    </row>
    <row r="846" ht="12.75">
      <c r="S846" s="7"/>
    </row>
    <row r="847" ht="12.75">
      <c r="S847" s="7"/>
    </row>
    <row r="848" ht="12.75">
      <c r="S848" s="7"/>
    </row>
    <row r="849" ht="12.75">
      <c r="S849" s="7"/>
    </row>
    <row r="850" ht="12.75">
      <c r="S850" s="7"/>
    </row>
    <row r="851" ht="12.75">
      <c r="S851" s="7"/>
    </row>
    <row r="852" ht="12.75">
      <c r="S852" s="7"/>
    </row>
    <row r="853" ht="12.75">
      <c r="S853" s="7"/>
    </row>
    <row r="854" ht="12.75">
      <c r="S854" s="7"/>
    </row>
    <row r="855" ht="12.75">
      <c r="S855" s="7"/>
    </row>
    <row r="856" ht="12.75">
      <c r="S856" s="7"/>
    </row>
    <row r="857" ht="12.75">
      <c r="S857" s="7"/>
    </row>
    <row r="858" ht="12.75">
      <c r="S858" s="7"/>
    </row>
    <row r="859" ht="12.75">
      <c r="S859" s="7"/>
    </row>
    <row r="860" ht="12.75">
      <c r="S860" s="7"/>
    </row>
    <row r="861" ht="12.75">
      <c r="S861" s="7"/>
    </row>
    <row r="862" ht="12.75">
      <c r="S862" s="7"/>
    </row>
    <row r="863" ht="12.75">
      <c r="S863" s="7"/>
    </row>
    <row r="864" ht="12.75">
      <c r="S864" s="7"/>
    </row>
    <row r="865" ht="12.75">
      <c r="S865" s="7"/>
    </row>
    <row r="866" ht="12.75">
      <c r="S866" s="7"/>
    </row>
    <row r="867" ht="12.75">
      <c r="S867" s="7"/>
    </row>
    <row r="868" ht="12.75">
      <c r="S868" s="7"/>
    </row>
    <row r="869" ht="12.75">
      <c r="S869" s="7"/>
    </row>
    <row r="870" ht="12.75">
      <c r="S870" s="7"/>
    </row>
    <row r="871" ht="12.75">
      <c r="S871" s="7"/>
    </row>
    <row r="872" ht="12.75">
      <c r="S872" s="7"/>
    </row>
    <row r="873" ht="12.75">
      <c r="S873" s="7"/>
    </row>
    <row r="874" ht="12.75">
      <c r="S874" s="7"/>
    </row>
    <row r="875" ht="12.75">
      <c r="S875" s="7"/>
    </row>
    <row r="876" ht="12.75">
      <c r="S876" s="7"/>
    </row>
    <row r="877" ht="12.75">
      <c r="S877" s="7"/>
    </row>
    <row r="878" ht="12.75">
      <c r="S878" s="7"/>
    </row>
    <row r="879" ht="12.75">
      <c r="S879" s="7"/>
    </row>
    <row r="880" ht="12.75">
      <c r="S880" s="7"/>
    </row>
    <row r="881" ht="12.75">
      <c r="S881" s="7"/>
    </row>
    <row r="882" ht="12.75">
      <c r="S882" s="7"/>
    </row>
    <row r="883" ht="12.75">
      <c r="S883" s="7"/>
    </row>
    <row r="884" ht="12.75">
      <c r="S884" s="7"/>
    </row>
    <row r="885" ht="12.75">
      <c r="S885" s="7"/>
    </row>
    <row r="886" ht="12.75">
      <c r="S886" s="7"/>
    </row>
    <row r="887" ht="12.75">
      <c r="S887" s="7"/>
    </row>
    <row r="888" ht="12.75">
      <c r="S888" s="7"/>
    </row>
    <row r="889" ht="12.75">
      <c r="S889" s="7"/>
    </row>
    <row r="890" ht="12.75">
      <c r="S890" s="7"/>
    </row>
    <row r="891" ht="12.75">
      <c r="S891" s="7"/>
    </row>
    <row r="892" ht="12.75">
      <c r="S892" s="7"/>
    </row>
    <row r="893" ht="12.75">
      <c r="S893" s="7"/>
    </row>
    <row r="894" ht="12.75">
      <c r="S894" s="7"/>
    </row>
    <row r="895" ht="12.75">
      <c r="S895" s="7"/>
    </row>
    <row r="896" ht="12.75">
      <c r="S896" s="7"/>
    </row>
    <row r="897" ht="12.75">
      <c r="S897" s="7"/>
    </row>
    <row r="898" ht="12.75">
      <c r="S898" s="7"/>
    </row>
    <row r="899" ht="12.75">
      <c r="S899" s="7"/>
    </row>
    <row r="900" ht="12.75">
      <c r="S900" s="7"/>
    </row>
    <row r="901" ht="12.75">
      <c r="S901" s="7"/>
    </row>
    <row r="902" ht="12.75">
      <c r="S902" s="7"/>
    </row>
    <row r="903" ht="12.75">
      <c r="S903" s="7"/>
    </row>
    <row r="904" ht="12.75">
      <c r="S904" s="7"/>
    </row>
    <row r="905" ht="12.75">
      <c r="S905" s="7"/>
    </row>
    <row r="906" ht="12.75">
      <c r="S906" s="7"/>
    </row>
    <row r="907" ht="12.75">
      <c r="S907" s="7"/>
    </row>
    <row r="908" ht="12.75">
      <c r="S908" s="7"/>
    </row>
    <row r="909" ht="12.75">
      <c r="S909" s="7"/>
    </row>
    <row r="910" ht="12.75">
      <c r="S910" s="7"/>
    </row>
    <row r="911" ht="12.75">
      <c r="S911" s="7"/>
    </row>
    <row r="912" ht="12.75">
      <c r="S912" s="7"/>
    </row>
    <row r="913" ht="12.75">
      <c r="S913" s="7"/>
    </row>
    <row r="914" ht="12.75">
      <c r="S914" s="7"/>
    </row>
    <row r="915" ht="12.75">
      <c r="S915" s="7"/>
    </row>
    <row r="916" ht="12.75">
      <c r="S916" s="7"/>
    </row>
    <row r="917" ht="12.75">
      <c r="S917" s="7"/>
    </row>
    <row r="918" ht="12.75">
      <c r="S918" s="7"/>
    </row>
    <row r="919" ht="12.75">
      <c r="S919" s="7"/>
    </row>
    <row r="920" ht="12.75">
      <c r="S920" s="7"/>
    </row>
    <row r="921" ht="12.75">
      <c r="S921" s="7"/>
    </row>
    <row r="922" ht="12.75">
      <c r="S922" s="7"/>
    </row>
    <row r="923" ht="12.75">
      <c r="S923" s="7"/>
    </row>
    <row r="924" ht="12.75">
      <c r="S924" s="7"/>
    </row>
    <row r="925" ht="12.75">
      <c r="S925" s="7"/>
    </row>
    <row r="926" ht="12.75">
      <c r="S926" s="7"/>
    </row>
    <row r="927" ht="12.75">
      <c r="S927" s="7"/>
    </row>
    <row r="928" ht="12.75">
      <c r="S928" s="7"/>
    </row>
    <row r="929" ht="12.75">
      <c r="S929" s="7"/>
    </row>
    <row r="930" ht="12.75">
      <c r="S930" s="7"/>
    </row>
    <row r="931" ht="12.75">
      <c r="S931" s="7"/>
    </row>
    <row r="932" ht="12.75">
      <c r="S932" s="7"/>
    </row>
    <row r="933" ht="12.75">
      <c r="S933" s="7"/>
    </row>
    <row r="934" ht="12.75">
      <c r="S934" s="7"/>
    </row>
    <row r="935" ht="12.75">
      <c r="S935" s="7"/>
    </row>
    <row r="936" ht="12.75">
      <c r="S936" s="7"/>
    </row>
    <row r="937" ht="12.75">
      <c r="S937" s="7"/>
    </row>
    <row r="938" ht="12.75">
      <c r="S938" s="7"/>
    </row>
    <row r="939" ht="12.75">
      <c r="S939" s="7"/>
    </row>
    <row r="940" ht="12.75">
      <c r="S940" s="7"/>
    </row>
    <row r="941" ht="12.75">
      <c r="S941" s="7"/>
    </row>
    <row r="942" ht="12.75">
      <c r="S942" s="7"/>
    </row>
    <row r="943" ht="12.75">
      <c r="S943" s="7"/>
    </row>
    <row r="944" ht="12.75">
      <c r="S944" s="7"/>
    </row>
    <row r="945" ht="12.75">
      <c r="S945" s="7"/>
    </row>
    <row r="946" ht="12.75">
      <c r="S946" s="7"/>
    </row>
    <row r="947" ht="12.75">
      <c r="S947" s="7"/>
    </row>
    <row r="948" ht="12.75">
      <c r="S948" s="7"/>
    </row>
    <row r="949" ht="12.75">
      <c r="S949" s="7"/>
    </row>
    <row r="950" ht="12.75">
      <c r="S950" s="7"/>
    </row>
    <row r="951" ht="12.75">
      <c r="S951" s="7"/>
    </row>
    <row r="952" ht="12.75">
      <c r="S952" s="7"/>
    </row>
    <row r="953" ht="12.75">
      <c r="S953" s="7"/>
    </row>
    <row r="954" ht="12.75">
      <c r="S954" s="7"/>
    </row>
    <row r="955" ht="12.75">
      <c r="S955" s="7"/>
    </row>
    <row r="956" ht="12.75">
      <c r="S956" s="7"/>
    </row>
    <row r="957" ht="12.75">
      <c r="S957" s="7"/>
    </row>
    <row r="958" ht="12.75">
      <c r="S958" s="7"/>
    </row>
    <row r="959" ht="12.75">
      <c r="S959" s="7"/>
    </row>
    <row r="960" ht="12.75">
      <c r="S960" s="7"/>
    </row>
    <row r="961" ht="12.75">
      <c r="S961" s="7"/>
    </row>
    <row r="962" ht="12.75">
      <c r="S962" s="7"/>
    </row>
    <row r="963" ht="12.75">
      <c r="S963" s="7"/>
    </row>
    <row r="964" ht="12.75">
      <c r="S964" s="7"/>
    </row>
    <row r="965" ht="12.75">
      <c r="S965" s="7"/>
    </row>
    <row r="966" ht="12.75">
      <c r="S966" s="7"/>
    </row>
    <row r="967" ht="12.75">
      <c r="S967" s="7"/>
    </row>
    <row r="968" ht="12.75">
      <c r="S968" s="7"/>
    </row>
    <row r="969" ht="12.75">
      <c r="S969" s="7"/>
    </row>
    <row r="970" ht="12.75">
      <c r="S970" s="7"/>
    </row>
    <row r="971" ht="12.75">
      <c r="S971" s="7"/>
    </row>
    <row r="972" ht="12.75">
      <c r="S972" s="7"/>
    </row>
    <row r="973" ht="12.75">
      <c r="S973" s="7"/>
    </row>
    <row r="974" ht="12.75">
      <c r="S974" s="7"/>
    </row>
    <row r="975" ht="12.75">
      <c r="S975" s="7"/>
    </row>
    <row r="976" ht="12.75">
      <c r="S976" s="7"/>
    </row>
    <row r="977" ht="12.75">
      <c r="S977" s="7"/>
    </row>
    <row r="978" ht="12.75">
      <c r="S978" s="7"/>
    </row>
    <row r="979" ht="12.75">
      <c r="S979" s="7"/>
    </row>
    <row r="980" ht="12.75">
      <c r="S980" s="7"/>
    </row>
    <row r="981" ht="12.75">
      <c r="S981" s="7"/>
    </row>
    <row r="982" ht="12.75">
      <c r="S982" s="7"/>
    </row>
    <row r="983" ht="12.75">
      <c r="S983" s="7"/>
    </row>
    <row r="984" ht="12.75">
      <c r="S984" s="7"/>
    </row>
    <row r="985" ht="12.75">
      <c r="S985" s="7"/>
    </row>
    <row r="986" ht="12.75">
      <c r="S986" s="7"/>
    </row>
    <row r="987" ht="12.75">
      <c r="S987" s="7"/>
    </row>
    <row r="988" ht="12.75">
      <c r="S988" s="7"/>
    </row>
    <row r="989" ht="12.75">
      <c r="S989" s="7"/>
    </row>
    <row r="990" ht="12.75">
      <c r="S990" s="7"/>
    </row>
    <row r="991" ht="12.75">
      <c r="S991" s="7"/>
    </row>
    <row r="992" ht="12.75">
      <c r="S992" s="7"/>
    </row>
    <row r="993" ht="12.75">
      <c r="S993" s="7"/>
    </row>
    <row r="994" ht="12.75">
      <c r="S994" s="7"/>
    </row>
    <row r="995" ht="12.75">
      <c r="S995" s="7"/>
    </row>
    <row r="996" ht="12.75">
      <c r="S996" s="7"/>
    </row>
    <row r="997" ht="12.75">
      <c r="S997" s="7"/>
    </row>
    <row r="998" ht="12.75">
      <c r="S998" s="7"/>
    </row>
    <row r="999" ht="12.75">
      <c r="S999" s="7"/>
    </row>
    <row r="1000" ht="12.75">
      <c r="S1000" s="7"/>
    </row>
    <row r="1001" ht="12.75">
      <c r="S1001" s="7"/>
    </row>
    <row r="1002" ht="12.75">
      <c r="S1002" s="7"/>
    </row>
    <row r="1003" ht="12.75">
      <c r="S1003" s="7"/>
    </row>
    <row r="1004" ht="12.75">
      <c r="S1004" s="7"/>
    </row>
    <row r="1005" ht="12.75">
      <c r="S1005" s="7"/>
    </row>
    <row r="1006" ht="12.75">
      <c r="S1006" s="7"/>
    </row>
    <row r="1007" ht="12.75">
      <c r="S1007" s="7"/>
    </row>
    <row r="1008" ht="12.75">
      <c r="S1008" s="7"/>
    </row>
    <row r="1009" ht="12.75">
      <c r="S1009" s="7"/>
    </row>
    <row r="1010" ht="12.75">
      <c r="S1010" s="7"/>
    </row>
    <row r="1011" ht="12.75">
      <c r="S1011" s="7"/>
    </row>
    <row r="1012" ht="12.75">
      <c r="S1012" s="7"/>
    </row>
    <row r="1013" ht="12.75">
      <c r="S1013" s="7"/>
    </row>
    <row r="1014" ht="12.75">
      <c r="S1014" s="7"/>
    </row>
    <row r="1015" ht="12.75">
      <c r="S1015" s="7"/>
    </row>
    <row r="1016" ht="12.75">
      <c r="S1016" s="7"/>
    </row>
    <row r="1017" ht="12.75">
      <c r="S1017" s="7"/>
    </row>
    <row r="1018" ht="12.75">
      <c r="S1018" s="7"/>
    </row>
    <row r="1019" ht="12.75">
      <c r="S1019" s="7"/>
    </row>
    <row r="1020" ht="12.75">
      <c r="S1020" s="7"/>
    </row>
    <row r="1021" ht="12.75">
      <c r="S1021" s="7"/>
    </row>
    <row r="1022" ht="12.75">
      <c r="S1022" s="7"/>
    </row>
    <row r="1023" ht="12.75">
      <c r="S1023" s="7"/>
    </row>
    <row r="1024" ht="12.75">
      <c r="S1024" s="7"/>
    </row>
    <row r="1025" ht="12.75">
      <c r="S1025" s="7"/>
    </row>
    <row r="1026" ht="12.75">
      <c r="S1026" s="7"/>
    </row>
    <row r="1027" ht="12.75">
      <c r="S1027" s="7"/>
    </row>
    <row r="1028" ht="12.75">
      <c r="S1028" s="7"/>
    </row>
    <row r="1029" ht="12.75">
      <c r="S1029" s="7"/>
    </row>
    <row r="1030" ht="12.75">
      <c r="S1030" s="7"/>
    </row>
    <row r="1031" ht="12.75">
      <c r="S1031" s="7"/>
    </row>
    <row r="1032" ht="12.75">
      <c r="S1032" s="7"/>
    </row>
    <row r="1033" ht="12.75">
      <c r="S1033" s="7"/>
    </row>
    <row r="1034" ht="12.75">
      <c r="S1034" s="7"/>
    </row>
    <row r="1035" ht="12.75">
      <c r="S1035" s="7"/>
    </row>
    <row r="1036" ht="12.75">
      <c r="S1036" s="7"/>
    </row>
    <row r="1037" ht="12.75">
      <c r="S1037" s="7"/>
    </row>
    <row r="1038" ht="12.75">
      <c r="S1038" s="7"/>
    </row>
    <row r="1039" ht="12.75">
      <c r="S1039" s="7"/>
    </row>
    <row r="1040" ht="12.75">
      <c r="S1040" s="7"/>
    </row>
    <row r="1041" ht="12.75">
      <c r="S1041" s="7"/>
    </row>
    <row r="1042" ht="12.75">
      <c r="S1042" s="7"/>
    </row>
    <row r="1043" ht="12.75">
      <c r="S1043" s="7"/>
    </row>
    <row r="1044" ht="12.75">
      <c r="S1044" s="7"/>
    </row>
    <row r="1045" ht="12.75">
      <c r="S1045" s="7"/>
    </row>
    <row r="1046" ht="12.75">
      <c r="S1046" s="7"/>
    </row>
    <row r="1047" ht="12.75">
      <c r="S1047" s="7"/>
    </row>
    <row r="1048" ht="12.75">
      <c r="S1048" s="7"/>
    </row>
    <row r="1049" ht="12.75">
      <c r="S1049" s="7"/>
    </row>
    <row r="1050" ht="12.75">
      <c r="S1050" s="7"/>
    </row>
    <row r="1051" ht="12.75">
      <c r="S1051" s="7"/>
    </row>
    <row r="1052" ht="12.75">
      <c r="S1052" s="7"/>
    </row>
    <row r="1053" ht="12.75">
      <c r="S1053" s="7"/>
    </row>
    <row r="1054" ht="12.75">
      <c r="S1054" s="7"/>
    </row>
    <row r="1055" ht="12.75">
      <c r="S1055" s="7"/>
    </row>
    <row r="1056" ht="12.75">
      <c r="S1056" s="7"/>
    </row>
    <row r="1057" ht="12.75">
      <c r="S1057" s="7"/>
    </row>
    <row r="1058" ht="12.75">
      <c r="S1058" s="7"/>
    </row>
    <row r="1059" ht="12.75">
      <c r="S1059" s="7"/>
    </row>
    <row r="1060" ht="12.75">
      <c r="S1060" s="7"/>
    </row>
    <row r="1061" ht="12.75">
      <c r="S1061" s="7"/>
    </row>
    <row r="1062" ht="12.75">
      <c r="S1062" s="7"/>
    </row>
    <row r="1063" ht="12.75">
      <c r="S1063" s="7"/>
    </row>
    <row r="1064" ht="12.75">
      <c r="S1064" s="7"/>
    </row>
    <row r="1065" ht="12.75">
      <c r="S1065" s="7"/>
    </row>
    <row r="1066" ht="12.75">
      <c r="S1066" s="7"/>
    </row>
    <row r="1067" ht="12.75">
      <c r="S1067" s="7"/>
    </row>
    <row r="1068" ht="12.75">
      <c r="S1068" s="7"/>
    </row>
    <row r="1069" ht="12.75">
      <c r="S1069" s="7"/>
    </row>
    <row r="1070" ht="12.75">
      <c r="S1070" s="7"/>
    </row>
    <row r="1071" ht="12.75">
      <c r="S1071" s="7"/>
    </row>
    <row r="1072" ht="12.75">
      <c r="S1072" s="7"/>
    </row>
    <row r="1073" ht="12.75">
      <c r="S1073" s="7"/>
    </row>
    <row r="1074" ht="12.75">
      <c r="S1074" s="7"/>
    </row>
    <row r="1075" ht="12.75">
      <c r="S1075" s="7"/>
    </row>
    <row r="1076" ht="12.75">
      <c r="S1076" s="7"/>
    </row>
    <row r="1077" ht="12.75">
      <c r="S1077" s="7"/>
    </row>
    <row r="1078" ht="12.75">
      <c r="S1078" s="7"/>
    </row>
    <row r="1079" ht="12.75">
      <c r="S1079" s="7"/>
    </row>
    <row r="1080" ht="12.75">
      <c r="S1080" s="7"/>
    </row>
    <row r="1081" ht="12.75">
      <c r="S1081" s="7"/>
    </row>
    <row r="1082" ht="12.75">
      <c r="S1082" s="7"/>
    </row>
    <row r="1083" ht="12.75">
      <c r="S1083" s="7"/>
    </row>
    <row r="1084" ht="12.75">
      <c r="S1084" s="7"/>
    </row>
    <row r="1085" ht="12.75">
      <c r="S1085" s="7"/>
    </row>
    <row r="1086" ht="12.75">
      <c r="S1086" s="7"/>
    </row>
    <row r="1087" ht="12.75">
      <c r="S1087" s="7"/>
    </row>
    <row r="1088" ht="12.75">
      <c r="S1088" s="7"/>
    </row>
    <row r="1089" ht="12.75">
      <c r="S1089" s="7"/>
    </row>
    <row r="1090" ht="12.75">
      <c r="S1090" s="7"/>
    </row>
    <row r="1091" ht="12.75">
      <c r="S1091" s="7"/>
    </row>
    <row r="1092" ht="12.75">
      <c r="S1092" s="7"/>
    </row>
    <row r="1093" ht="12.75">
      <c r="S1093" s="7"/>
    </row>
    <row r="1094" ht="12.75">
      <c r="S1094" s="7"/>
    </row>
    <row r="1095" ht="12.75">
      <c r="S1095" s="7"/>
    </row>
    <row r="1096" ht="12.75">
      <c r="S1096" s="7"/>
    </row>
    <row r="1097" ht="12.75">
      <c r="S1097" s="7"/>
    </row>
    <row r="1098" ht="12.75">
      <c r="S1098" s="7"/>
    </row>
    <row r="1099" ht="12.75">
      <c r="S1099" s="7"/>
    </row>
    <row r="1100" ht="12.75">
      <c r="S1100" s="7"/>
    </row>
    <row r="1101" ht="12.75">
      <c r="S1101" s="7"/>
    </row>
    <row r="1102" ht="12.75">
      <c r="S1102" s="7"/>
    </row>
    <row r="1103" ht="12.75">
      <c r="S1103" s="7"/>
    </row>
    <row r="1104" ht="12.75">
      <c r="S1104" s="7"/>
    </row>
    <row r="1105" ht="12.75">
      <c r="S1105" s="7"/>
    </row>
    <row r="1106" ht="12.75">
      <c r="S1106" s="7"/>
    </row>
    <row r="1107" ht="12.75">
      <c r="S1107" s="7"/>
    </row>
    <row r="1108" ht="12.75">
      <c r="S1108" s="7"/>
    </row>
    <row r="1109" ht="12.75">
      <c r="S1109" s="7"/>
    </row>
    <row r="1110" ht="12.75">
      <c r="S1110" s="7"/>
    </row>
    <row r="1111" ht="12.75">
      <c r="S1111" s="7"/>
    </row>
    <row r="1112" ht="12.75">
      <c r="S1112" s="7"/>
    </row>
    <row r="1113" ht="12.75">
      <c r="S1113" s="7"/>
    </row>
    <row r="1114" ht="12.75">
      <c r="S1114" s="7"/>
    </row>
    <row r="1115" ht="12.75">
      <c r="S1115" s="7"/>
    </row>
    <row r="1116" ht="12.75">
      <c r="S1116" s="7"/>
    </row>
    <row r="1117" ht="12.75">
      <c r="S1117" s="7"/>
    </row>
    <row r="1118" ht="12.75">
      <c r="S1118" s="7"/>
    </row>
    <row r="1119" ht="12.75">
      <c r="S1119" s="7"/>
    </row>
    <row r="1120" ht="12.75">
      <c r="S1120" s="7"/>
    </row>
    <row r="1121" ht="12.75">
      <c r="S1121" s="7"/>
    </row>
    <row r="1122" ht="12.75">
      <c r="S1122" s="7"/>
    </row>
    <row r="1123" ht="12.75">
      <c r="S1123" s="7"/>
    </row>
    <row r="1124" ht="12.75">
      <c r="S1124" s="7"/>
    </row>
    <row r="1125" ht="12.75">
      <c r="S1125" s="7"/>
    </row>
    <row r="1126" ht="12.75">
      <c r="S1126" s="7"/>
    </row>
    <row r="1127" ht="12.75">
      <c r="S1127" s="7"/>
    </row>
    <row r="1128" ht="12.75">
      <c r="S1128" s="7"/>
    </row>
    <row r="1129" ht="12.75">
      <c r="S1129" s="7"/>
    </row>
    <row r="1130" ht="12.75">
      <c r="S1130" s="7"/>
    </row>
    <row r="1131" ht="12.75">
      <c r="S1131" s="7"/>
    </row>
    <row r="1132" ht="12.75">
      <c r="S1132" s="7"/>
    </row>
    <row r="1133" ht="12.75">
      <c r="S1133" s="7"/>
    </row>
    <row r="1134" ht="12.75">
      <c r="S1134" s="7"/>
    </row>
    <row r="1135" ht="12.75">
      <c r="S1135" s="7"/>
    </row>
    <row r="1136" ht="12.75">
      <c r="S1136" s="7"/>
    </row>
    <row r="1137" ht="12.75">
      <c r="S1137" s="7"/>
    </row>
    <row r="1138" ht="12.75">
      <c r="S1138" s="7"/>
    </row>
    <row r="1139" ht="12.75">
      <c r="S1139" s="7"/>
    </row>
    <row r="1140" ht="12.75">
      <c r="S1140" s="7"/>
    </row>
    <row r="1141" ht="12.75">
      <c r="S1141" s="7"/>
    </row>
    <row r="1142" ht="12.75">
      <c r="S1142" s="7"/>
    </row>
    <row r="1143" ht="12.75">
      <c r="S1143" s="7"/>
    </row>
    <row r="1144" ht="12.75">
      <c r="S1144" s="7"/>
    </row>
    <row r="1145" ht="12.75">
      <c r="S1145" s="7"/>
    </row>
    <row r="1146" ht="12.75">
      <c r="S1146" s="7"/>
    </row>
    <row r="1147" ht="12.75">
      <c r="S1147" s="7"/>
    </row>
    <row r="1148" ht="12.75">
      <c r="S1148" s="7"/>
    </row>
    <row r="1149" ht="12.75">
      <c r="S1149" s="7"/>
    </row>
    <row r="1150" ht="12.75">
      <c r="S1150" s="7"/>
    </row>
    <row r="1151" ht="12.75">
      <c r="S1151" s="7"/>
    </row>
    <row r="1152" ht="12.75">
      <c r="S1152" s="7"/>
    </row>
    <row r="1153" ht="12.75">
      <c r="S1153" s="7"/>
    </row>
    <row r="1154" ht="12.75">
      <c r="S1154" s="7"/>
    </row>
    <row r="1155" ht="12.75">
      <c r="S1155" s="7"/>
    </row>
    <row r="1156" ht="12.75">
      <c r="S1156" s="7"/>
    </row>
    <row r="1157" ht="12.75">
      <c r="S1157" s="7"/>
    </row>
    <row r="1158" ht="12.75">
      <c r="S1158" s="7"/>
    </row>
    <row r="1159" ht="12.75">
      <c r="S1159" s="7"/>
    </row>
    <row r="1160" ht="12.75">
      <c r="S1160" s="7"/>
    </row>
    <row r="1161" ht="12.75">
      <c r="S1161" s="7"/>
    </row>
    <row r="1162" ht="12.75">
      <c r="S1162" s="7"/>
    </row>
    <row r="1163" ht="12.75">
      <c r="S1163" s="7"/>
    </row>
    <row r="1164" ht="12.75">
      <c r="S1164" s="7"/>
    </row>
    <row r="1165" ht="12.75">
      <c r="S1165" s="7"/>
    </row>
    <row r="1166" ht="12.75">
      <c r="S1166" s="7"/>
    </row>
    <row r="1167" ht="12.75">
      <c r="S1167" s="7"/>
    </row>
    <row r="1168" ht="12.75">
      <c r="S1168" s="7"/>
    </row>
    <row r="1169" ht="12.75">
      <c r="S1169" s="7"/>
    </row>
    <row r="1170" ht="12.75">
      <c r="S1170" s="7"/>
    </row>
    <row r="1171" ht="12.75">
      <c r="S1171" s="7"/>
    </row>
    <row r="1172" ht="12.75">
      <c r="S1172" s="7"/>
    </row>
    <row r="1173" ht="12.75">
      <c r="S1173" s="7"/>
    </row>
    <row r="1174" ht="12.75">
      <c r="S1174" s="7"/>
    </row>
    <row r="1175" ht="12.75">
      <c r="S1175" s="7"/>
    </row>
    <row r="1176" ht="12.75">
      <c r="S1176" s="7"/>
    </row>
    <row r="1177" ht="12.75">
      <c r="S1177" s="7"/>
    </row>
    <row r="1178" ht="12.75">
      <c r="S1178" s="7"/>
    </row>
    <row r="1179" ht="12.75">
      <c r="S1179" s="7"/>
    </row>
    <row r="1180" ht="12.75">
      <c r="S1180" s="7"/>
    </row>
    <row r="1181" ht="12.75">
      <c r="S1181" s="7"/>
    </row>
    <row r="1182" ht="12.75">
      <c r="S1182" s="7"/>
    </row>
    <row r="1183" ht="12.75">
      <c r="S1183" s="7"/>
    </row>
    <row r="1184" ht="12.75">
      <c r="S1184" s="7"/>
    </row>
    <row r="1185" ht="12.75">
      <c r="S1185" s="7"/>
    </row>
    <row r="1186" ht="12.75">
      <c r="S1186" s="7"/>
    </row>
    <row r="1187" ht="12.75">
      <c r="S1187" s="7"/>
    </row>
    <row r="1188" ht="12.75">
      <c r="S1188" s="7"/>
    </row>
    <row r="1189" ht="12.75">
      <c r="S1189" s="7"/>
    </row>
    <row r="1190" ht="12.75">
      <c r="S1190" s="7"/>
    </row>
    <row r="1191" ht="12.75">
      <c r="S1191" s="7"/>
    </row>
    <row r="1192" ht="12.75">
      <c r="S1192" s="7"/>
    </row>
    <row r="1193" ht="12.75">
      <c r="S1193" s="7"/>
    </row>
    <row r="1194" ht="12.75">
      <c r="S1194" s="7"/>
    </row>
    <row r="1195" ht="12.75">
      <c r="S1195" s="7"/>
    </row>
    <row r="1196" ht="12.75">
      <c r="S1196" s="7"/>
    </row>
    <row r="1197" ht="12.75">
      <c r="S1197" s="7"/>
    </row>
    <row r="1198" ht="12.75">
      <c r="S1198" s="7"/>
    </row>
    <row r="1199" ht="12.75">
      <c r="S1199" s="7"/>
    </row>
    <row r="1200" ht="12.75">
      <c r="S1200" s="7"/>
    </row>
    <row r="1201" ht="12.75">
      <c r="S1201" s="7"/>
    </row>
    <row r="1202" ht="12.75">
      <c r="S1202" s="7"/>
    </row>
    <row r="1203" ht="12.75">
      <c r="S1203" s="7"/>
    </row>
    <row r="1204" ht="12.75">
      <c r="S1204" s="7"/>
    </row>
    <row r="1205" ht="12.75">
      <c r="S1205" s="7"/>
    </row>
    <row r="1206" ht="12.75">
      <c r="S1206" s="7"/>
    </row>
    <row r="1207" ht="12.75">
      <c r="S1207" s="7"/>
    </row>
    <row r="1208" ht="12.75">
      <c r="S1208" s="7"/>
    </row>
    <row r="1209" ht="12.75">
      <c r="S1209" s="7"/>
    </row>
    <row r="1210" ht="12.75">
      <c r="S1210" s="7"/>
    </row>
    <row r="1211" ht="12.75">
      <c r="S1211" s="7"/>
    </row>
    <row r="1212" ht="12.75">
      <c r="S1212" s="7"/>
    </row>
    <row r="1213" ht="12.75">
      <c r="S1213" s="7"/>
    </row>
    <row r="1214" ht="12.75">
      <c r="S1214" s="7"/>
    </row>
    <row r="1215" ht="12.75">
      <c r="S1215" s="7"/>
    </row>
    <row r="1216" ht="12.75">
      <c r="S1216" s="7"/>
    </row>
    <row r="1217" ht="12.75">
      <c r="S1217" s="7"/>
    </row>
    <row r="1218" ht="12.75">
      <c r="S1218" s="7"/>
    </row>
    <row r="1219" ht="12.75">
      <c r="S1219" s="7"/>
    </row>
    <row r="1220" ht="12.75">
      <c r="S1220" s="7"/>
    </row>
    <row r="1221" ht="12.75">
      <c r="S1221" s="7"/>
    </row>
    <row r="1222" ht="12.75">
      <c r="S1222" s="7"/>
    </row>
    <row r="1223" ht="12.75">
      <c r="S1223" s="7"/>
    </row>
    <row r="1224" ht="12.75">
      <c r="S1224" s="7"/>
    </row>
    <row r="1225" ht="12.75">
      <c r="S1225" s="7"/>
    </row>
    <row r="1226" ht="12.75">
      <c r="S1226" s="7"/>
    </row>
    <row r="1227" ht="12.75">
      <c r="S1227" s="7"/>
    </row>
    <row r="1228" ht="12.75">
      <c r="S1228" s="7"/>
    </row>
    <row r="1229" ht="12.75">
      <c r="S1229" s="7"/>
    </row>
    <row r="1230" ht="12.75">
      <c r="S1230" s="7"/>
    </row>
    <row r="1231" ht="12.75">
      <c r="S1231" s="7"/>
    </row>
    <row r="1232" ht="12.75">
      <c r="S1232" s="7"/>
    </row>
    <row r="1233" ht="12.75">
      <c r="S1233" s="7"/>
    </row>
    <row r="1234" ht="12.75">
      <c r="S1234" s="7"/>
    </row>
    <row r="1235" ht="12.75">
      <c r="S1235" s="7"/>
    </row>
    <row r="1236" ht="12.75">
      <c r="S1236" s="7"/>
    </row>
    <row r="1237" ht="12.75">
      <c r="S1237" s="7"/>
    </row>
    <row r="1238" ht="12.75">
      <c r="S1238" s="7"/>
    </row>
    <row r="1239" ht="12.75">
      <c r="S1239" s="7"/>
    </row>
    <row r="1240" ht="12.75">
      <c r="S1240" s="7"/>
    </row>
    <row r="1241" ht="12.75">
      <c r="S1241" s="7"/>
    </row>
    <row r="1242" ht="12.75">
      <c r="S1242" s="7"/>
    </row>
    <row r="1243" ht="12.75">
      <c r="S1243" s="7"/>
    </row>
    <row r="1244" ht="12.75">
      <c r="S1244" s="7"/>
    </row>
    <row r="1245" ht="12.75">
      <c r="S1245" s="7"/>
    </row>
    <row r="1246" ht="12.75">
      <c r="S1246" s="7"/>
    </row>
    <row r="1247" ht="12.75">
      <c r="S1247" s="7"/>
    </row>
    <row r="1248" ht="12.75">
      <c r="S1248" s="7"/>
    </row>
    <row r="1249" ht="12.75">
      <c r="S1249" s="7"/>
    </row>
    <row r="1250" ht="12.75">
      <c r="S1250" s="7"/>
    </row>
    <row r="1251" ht="12.75">
      <c r="S1251" s="7"/>
    </row>
    <row r="1252" ht="12.75">
      <c r="S1252" s="7"/>
    </row>
    <row r="1253" ht="12.75">
      <c r="S1253" s="7"/>
    </row>
    <row r="1254" ht="12.75">
      <c r="S1254" s="7"/>
    </row>
    <row r="1255" ht="12.75">
      <c r="S1255" s="7"/>
    </row>
    <row r="1256" ht="12.75">
      <c r="S1256" s="7"/>
    </row>
    <row r="1257" ht="12.75">
      <c r="S1257" s="7"/>
    </row>
    <row r="1258" ht="12.75">
      <c r="S1258" s="7"/>
    </row>
    <row r="1259" ht="12.75">
      <c r="S1259" s="7"/>
    </row>
    <row r="1260" ht="12.75">
      <c r="S1260" s="7"/>
    </row>
    <row r="1261" ht="12.75">
      <c r="S1261" s="7"/>
    </row>
    <row r="1262" ht="12.75">
      <c r="S1262" s="7"/>
    </row>
    <row r="1263" ht="12.75">
      <c r="S1263" s="7"/>
    </row>
    <row r="1264" ht="12.75">
      <c r="S1264" s="7"/>
    </row>
    <row r="1265" ht="12.75">
      <c r="S1265" s="7"/>
    </row>
    <row r="1266" ht="12.75">
      <c r="S1266" s="7"/>
    </row>
    <row r="1267" ht="12.75">
      <c r="S1267" s="7"/>
    </row>
    <row r="1268" ht="12.75">
      <c r="S1268" s="7"/>
    </row>
    <row r="1269" ht="12.75">
      <c r="S1269" s="7"/>
    </row>
    <row r="1270" ht="12.75">
      <c r="S1270" s="7"/>
    </row>
    <row r="1271" ht="12.75">
      <c r="S1271" s="7"/>
    </row>
    <row r="1272" ht="12.75">
      <c r="S1272" s="7"/>
    </row>
    <row r="1273" ht="12.75">
      <c r="S1273" s="7"/>
    </row>
    <row r="1274" ht="12.75">
      <c r="S1274" s="7"/>
    </row>
    <row r="1275" ht="12.75">
      <c r="S1275" s="7"/>
    </row>
    <row r="1276" ht="12.75">
      <c r="S1276" s="7"/>
    </row>
    <row r="1277" ht="12.75">
      <c r="S1277" s="7"/>
    </row>
    <row r="1278" ht="12.75">
      <c r="S1278" s="7"/>
    </row>
    <row r="1279" ht="12.75">
      <c r="S1279" s="7"/>
    </row>
    <row r="1280" ht="12.75">
      <c r="S1280" s="7"/>
    </row>
    <row r="1281" ht="12.75">
      <c r="S1281" s="7"/>
    </row>
    <row r="1282" ht="12.75">
      <c r="S1282" s="7"/>
    </row>
    <row r="1283" ht="12.75">
      <c r="S1283" s="7"/>
    </row>
    <row r="1284" ht="12.75">
      <c r="S1284" s="7"/>
    </row>
    <row r="1285" ht="12.75">
      <c r="S1285" s="7"/>
    </row>
    <row r="1286" ht="12.75">
      <c r="S1286" s="7"/>
    </row>
    <row r="1287" ht="12.75">
      <c r="S1287" s="7"/>
    </row>
    <row r="1288" ht="12.75">
      <c r="S1288" s="7"/>
    </row>
    <row r="1289" ht="12.75">
      <c r="S1289" s="7"/>
    </row>
    <row r="1290" ht="12.75">
      <c r="S1290" s="7"/>
    </row>
    <row r="1291" ht="12.75">
      <c r="S1291" s="7"/>
    </row>
    <row r="1292" ht="12.75">
      <c r="S1292" s="7"/>
    </row>
    <row r="1293" ht="12.75">
      <c r="S1293" s="7"/>
    </row>
    <row r="1294" ht="12.75">
      <c r="S1294" s="7"/>
    </row>
    <row r="1295" ht="12.75">
      <c r="S1295" s="7"/>
    </row>
    <row r="1296" ht="12.75">
      <c r="S1296" s="7"/>
    </row>
    <row r="1297" ht="12.75">
      <c r="S1297" s="7"/>
    </row>
    <row r="1298" ht="12.75">
      <c r="S1298" s="7"/>
    </row>
    <row r="1299" ht="12.75">
      <c r="S1299" s="7"/>
    </row>
    <row r="1300" ht="12.75">
      <c r="S1300" s="7"/>
    </row>
    <row r="1301" ht="12.75">
      <c r="S1301" s="7"/>
    </row>
    <row r="1302" ht="12.75">
      <c r="S1302" s="7"/>
    </row>
    <row r="1303" ht="12.75">
      <c r="S1303" s="7"/>
    </row>
    <row r="1304" ht="12.75">
      <c r="S1304" s="7"/>
    </row>
    <row r="1305" ht="12.75">
      <c r="S1305" s="7"/>
    </row>
    <row r="1306" ht="12.75">
      <c r="S1306" s="7"/>
    </row>
    <row r="1307" ht="12.75">
      <c r="S1307" s="7"/>
    </row>
    <row r="1308" ht="12.75">
      <c r="S1308" s="7"/>
    </row>
    <row r="1309" ht="12.75">
      <c r="S1309" s="7"/>
    </row>
    <row r="1310" ht="12.75">
      <c r="S1310" s="7"/>
    </row>
    <row r="1311" ht="12.75">
      <c r="S1311" s="7"/>
    </row>
    <row r="1312" ht="12.75">
      <c r="S1312" s="7"/>
    </row>
    <row r="1313" ht="12.75">
      <c r="S1313" s="7"/>
    </row>
    <row r="1314" ht="12.75">
      <c r="S1314" s="7"/>
    </row>
    <row r="1315" ht="12.75">
      <c r="S1315" s="7"/>
    </row>
    <row r="1316" ht="12.75">
      <c r="S1316" s="7"/>
    </row>
    <row r="1317" ht="12.75">
      <c r="S1317" s="7"/>
    </row>
    <row r="1318" ht="12.75">
      <c r="S1318" s="7"/>
    </row>
    <row r="1319" ht="12.75">
      <c r="S1319" s="7"/>
    </row>
    <row r="1320" ht="12.75">
      <c r="S1320" s="7"/>
    </row>
    <row r="1321" ht="12.75">
      <c r="S1321" s="7"/>
    </row>
    <row r="1322" ht="12.75">
      <c r="S1322" s="7"/>
    </row>
    <row r="1323" ht="12.75">
      <c r="S1323" s="7"/>
    </row>
    <row r="1324" ht="12.75">
      <c r="S1324" s="7"/>
    </row>
    <row r="1325" ht="12.75">
      <c r="S1325" s="7"/>
    </row>
    <row r="1326" ht="12.75">
      <c r="S1326" s="7"/>
    </row>
    <row r="1327" ht="12.75">
      <c r="S1327" s="7"/>
    </row>
    <row r="1328" ht="12.75">
      <c r="S1328" s="7"/>
    </row>
    <row r="1329" ht="12.75">
      <c r="S1329" s="7"/>
    </row>
    <row r="1330" ht="12.75">
      <c r="S1330" s="7"/>
    </row>
    <row r="1331" ht="12.75">
      <c r="S1331" s="7"/>
    </row>
    <row r="1332" ht="12.75">
      <c r="S1332" s="7"/>
    </row>
    <row r="1333" ht="12.75">
      <c r="S1333" s="7"/>
    </row>
    <row r="1334" ht="12.75">
      <c r="S1334" s="7"/>
    </row>
    <row r="1335" ht="12.75">
      <c r="S1335" s="7"/>
    </row>
    <row r="1336" ht="12.75">
      <c r="S1336" s="7"/>
    </row>
    <row r="1337" ht="12.75">
      <c r="S1337" s="7"/>
    </row>
    <row r="1338" ht="12.75">
      <c r="S1338" s="7"/>
    </row>
    <row r="1339" ht="12.75">
      <c r="S1339" s="7"/>
    </row>
    <row r="1340" ht="12.75">
      <c r="S1340" s="7"/>
    </row>
    <row r="1341" ht="12.75">
      <c r="S1341" s="7"/>
    </row>
    <row r="1342" ht="12.75">
      <c r="S1342" s="7"/>
    </row>
    <row r="1343" ht="12.75">
      <c r="S1343" s="7"/>
    </row>
    <row r="1344" ht="12.75">
      <c r="S1344" s="7"/>
    </row>
    <row r="1345" ht="12.75">
      <c r="S1345" s="7"/>
    </row>
    <row r="1346" ht="12.75">
      <c r="S1346" s="7"/>
    </row>
    <row r="1347" ht="12.75">
      <c r="S1347" s="7"/>
    </row>
    <row r="1348" ht="12.75">
      <c r="S1348" s="7"/>
    </row>
    <row r="1349" ht="12.75">
      <c r="S1349" s="7"/>
    </row>
    <row r="1350" ht="12.75">
      <c r="S1350" s="7"/>
    </row>
    <row r="1351" ht="12.75">
      <c r="S1351" s="7"/>
    </row>
    <row r="1352" ht="12.75">
      <c r="S1352" s="7"/>
    </row>
    <row r="1353" ht="12.75">
      <c r="S1353" s="7"/>
    </row>
    <row r="1354" ht="12.75">
      <c r="S1354" s="7"/>
    </row>
    <row r="1355" ht="12.75">
      <c r="S1355" s="7"/>
    </row>
    <row r="1356" ht="12.75">
      <c r="S1356" s="7"/>
    </row>
    <row r="1357" ht="12.75">
      <c r="S1357" s="7"/>
    </row>
    <row r="1358" ht="12.75">
      <c r="S1358" s="7"/>
    </row>
    <row r="1359" ht="12.75">
      <c r="S1359" s="7"/>
    </row>
    <row r="1360" ht="12.75">
      <c r="S1360" s="7"/>
    </row>
    <row r="1361" ht="12.75">
      <c r="S1361" s="7"/>
    </row>
    <row r="1362" ht="12.75">
      <c r="S1362" s="7"/>
    </row>
    <row r="1363" ht="12.75">
      <c r="S1363" s="7"/>
    </row>
    <row r="1364" ht="12.75">
      <c r="S1364" s="7"/>
    </row>
    <row r="1365" ht="12.75">
      <c r="S1365" s="7"/>
    </row>
    <row r="1366" ht="12.75">
      <c r="S1366" s="7"/>
    </row>
    <row r="1367" ht="12.75">
      <c r="S1367" s="7"/>
    </row>
    <row r="1368" ht="12.75">
      <c r="S1368" s="7"/>
    </row>
    <row r="1369" ht="12.75">
      <c r="S1369" s="7"/>
    </row>
    <row r="1370" ht="12.75">
      <c r="S1370" s="7"/>
    </row>
    <row r="1371" ht="12.75">
      <c r="S1371" s="7"/>
    </row>
    <row r="1372" ht="12.75">
      <c r="S1372" s="7"/>
    </row>
    <row r="1373" ht="12.75">
      <c r="S1373" s="7"/>
    </row>
    <row r="1374" ht="12.75">
      <c r="S1374" s="7"/>
    </row>
    <row r="1375" ht="12.75">
      <c r="S1375" s="7"/>
    </row>
    <row r="1376" ht="12.75">
      <c r="S1376" s="7"/>
    </row>
    <row r="1377" ht="12.75">
      <c r="S1377" s="7"/>
    </row>
    <row r="1378" ht="12.75">
      <c r="S1378" s="7"/>
    </row>
    <row r="1379" ht="12.75">
      <c r="S1379" s="7"/>
    </row>
    <row r="1380" ht="12.75">
      <c r="S1380" s="7"/>
    </row>
    <row r="1381" ht="12.75">
      <c r="S1381" s="7"/>
    </row>
    <row r="1382" ht="12.75">
      <c r="S1382" s="7"/>
    </row>
    <row r="1383" ht="12.75">
      <c r="S1383" s="7"/>
    </row>
    <row r="1384" ht="12.75">
      <c r="S1384" s="7"/>
    </row>
    <row r="1385" ht="12.75">
      <c r="S1385" s="7"/>
    </row>
    <row r="1386" ht="12.75">
      <c r="S1386" s="7"/>
    </row>
    <row r="1387" ht="12.75">
      <c r="S1387" s="7"/>
    </row>
    <row r="1388" ht="12.75">
      <c r="S1388" s="7"/>
    </row>
    <row r="1389" ht="12.75">
      <c r="S1389" s="7"/>
    </row>
    <row r="1390" ht="12.75">
      <c r="S1390" s="7"/>
    </row>
    <row r="1391" ht="12.75">
      <c r="S1391" s="7"/>
    </row>
    <row r="1392" ht="12.75">
      <c r="S1392" s="7"/>
    </row>
    <row r="1393" ht="12.75">
      <c r="S1393" s="7"/>
    </row>
    <row r="1394" ht="12.75">
      <c r="S1394" s="7"/>
    </row>
    <row r="1395" ht="12.75">
      <c r="S1395" s="7"/>
    </row>
    <row r="1396" ht="12.75">
      <c r="S1396" s="7"/>
    </row>
    <row r="1397" ht="12.75">
      <c r="S1397" s="7"/>
    </row>
    <row r="1398" ht="12.75">
      <c r="S1398" s="7"/>
    </row>
    <row r="1399" ht="12.75">
      <c r="S1399" s="7"/>
    </row>
    <row r="1400" ht="12.75">
      <c r="S1400" s="7"/>
    </row>
    <row r="1401" ht="12.75">
      <c r="S1401" s="7"/>
    </row>
    <row r="1402" ht="12.75">
      <c r="S1402" s="7"/>
    </row>
    <row r="1403" ht="12.75">
      <c r="S1403" s="7"/>
    </row>
    <row r="1404" ht="12.75">
      <c r="S1404" s="7"/>
    </row>
    <row r="1405" ht="12.75">
      <c r="S1405" s="7"/>
    </row>
    <row r="1406" ht="12.75">
      <c r="S1406" s="7"/>
    </row>
    <row r="1407" ht="12.75">
      <c r="S1407" s="7"/>
    </row>
    <row r="1408" ht="12.75">
      <c r="S1408" s="7"/>
    </row>
    <row r="1409" ht="12.75">
      <c r="S1409" s="7"/>
    </row>
    <row r="1410" ht="12.75">
      <c r="S1410" s="7"/>
    </row>
    <row r="1411" ht="12.75">
      <c r="S1411" s="7"/>
    </row>
    <row r="1412" ht="12.75">
      <c r="S1412" s="7"/>
    </row>
    <row r="1413" ht="12.75">
      <c r="S1413" s="7"/>
    </row>
    <row r="1414" ht="12.75">
      <c r="S1414" s="7"/>
    </row>
    <row r="1415" ht="12.75">
      <c r="S1415" s="7"/>
    </row>
    <row r="1416" ht="12.75">
      <c r="S1416" s="7"/>
    </row>
    <row r="1417" ht="12.75">
      <c r="S1417" s="7"/>
    </row>
    <row r="1418" ht="12.75">
      <c r="S1418" s="7"/>
    </row>
    <row r="1419" ht="12.75">
      <c r="S1419" s="7"/>
    </row>
    <row r="1420" ht="12.75">
      <c r="S1420" s="7"/>
    </row>
    <row r="1421" ht="12.75">
      <c r="S1421" s="7"/>
    </row>
    <row r="1422" ht="12.75">
      <c r="S1422" s="7"/>
    </row>
    <row r="1423" ht="12.75">
      <c r="S1423" s="7"/>
    </row>
    <row r="1424" ht="12.75">
      <c r="S1424" s="7"/>
    </row>
    <row r="1425" ht="12.75">
      <c r="S1425" s="7"/>
    </row>
    <row r="1426" ht="12.75">
      <c r="S1426" s="7"/>
    </row>
    <row r="1427" ht="12.75">
      <c r="S1427" s="7"/>
    </row>
    <row r="1428" ht="12.75">
      <c r="S1428" s="7"/>
    </row>
    <row r="1429" ht="12.75">
      <c r="S1429" s="7"/>
    </row>
    <row r="1430" ht="12.75">
      <c r="S1430" s="7"/>
    </row>
    <row r="1431" ht="12.75">
      <c r="S1431" s="7"/>
    </row>
    <row r="1432" ht="12.75">
      <c r="S1432" s="7"/>
    </row>
    <row r="1433" ht="12.75">
      <c r="S1433" s="7"/>
    </row>
    <row r="1434" ht="12.75">
      <c r="S1434" s="7"/>
    </row>
    <row r="1435" ht="12.75">
      <c r="S1435" s="7"/>
    </row>
    <row r="1436" ht="12.75">
      <c r="S1436" s="7"/>
    </row>
    <row r="1437" ht="12.75">
      <c r="S1437" s="7"/>
    </row>
    <row r="1438" ht="12.75">
      <c r="S1438" s="7"/>
    </row>
    <row r="1439" ht="12.75">
      <c r="S1439" s="7"/>
    </row>
    <row r="1440" ht="12.75">
      <c r="S1440" s="7"/>
    </row>
    <row r="1441" ht="12.75">
      <c r="S1441" s="7"/>
    </row>
    <row r="1442" ht="12.75">
      <c r="S1442" s="7"/>
    </row>
    <row r="1443" ht="12.75">
      <c r="S1443" s="7"/>
    </row>
    <row r="1444" ht="12.75">
      <c r="S1444" s="7"/>
    </row>
    <row r="1445" ht="12.75">
      <c r="S1445" s="7"/>
    </row>
    <row r="1446" ht="12.75">
      <c r="S1446" s="7"/>
    </row>
    <row r="1447" ht="12.75">
      <c r="S1447" s="7"/>
    </row>
    <row r="1448" ht="12.75">
      <c r="S1448" s="7"/>
    </row>
    <row r="1449" ht="12.75">
      <c r="S1449" s="7"/>
    </row>
    <row r="1450" ht="12.75">
      <c r="S1450" s="7"/>
    </row>
    <row r="1451" ht="12.75">
      <c r="S1451" s="7"/>
    </row>
    <row r="1452" ht="12.75">
      <c r="S1452" s="7"/>
    </row>
    <row r="1453" ht="12.75">
      <c r="S1453" s="7"/>
    </row>
    <row r="1454" ht="12.75">
      <c r="S1454" s="7"/>
    </row>
    <row r="1455" ht="12.75">
      <c r="S1455" s="7"/>
    </row>
    <row r="1456" ht="12.75">
      <c r="S1456" s="7"/>
    </row>
    <row r="1457" ht="12.75">
      <c r="S1457" s="7"/>
    </row>
    <row r="1458" ht="12.75">
      <c r="S1458" s="7"/>
    </row>
    <row r="1459" ht="12.75">
      <c r="S1459" s="7"/>
    </row>
    <row r="1460" ht="12.75">
      <c r="S1460" s="7"/>
    </row>
    <row r="1461" ht="12.75">
      <c r="S1461" s="7"/>
    </row>
    <row r="1462" ht="12.75">
      <c r="S1462" s="7"/>
    </row>
    <row r="1463" ht="12.75">
      <c r="S1463" s="7"/>
    </row>
    <row r="1464" ht="12.75">
      <c r="S1464" s="7"/>
    </row>
    <row r="1465" ht="12.75">
      <c r="S1465" s="7"/>
    </row>
    <row r="1466" ht="12.75">
      <c r="S1466" s="7"/>
    </row>
    <row r="1467" ht="12.75">
      <c r="S1467" s="7"/>
    </row>
    <row r="1468" ht="12.75">
      <c r="S1468" s="7"/>
    </row>
    <row r="1469" ht="12.75">
      <c r="S1469" s="7"/>
    </row>
    <row r="1470" ht="12.75">
      <c r="S1470" s="7"/>
    </row>
    <row r="1471" ht="12.75">
      <c r="S1471" s="7"/>
    </row>
    <row r="1472" ht="12.75">
      <c r="S1472" s="7"/>
    </row>
    <row r="1473" ht="12.75">
      <c r="S1473" s="7"/>
    </row>
    <row r="1474" ht="12.75">
      <c r="S1474" s="7"/>
    </row>
    <row r="1475" ht="12.75">
      <c r="S1475" s="7"/>
    </row>
    <row r="1476" ht="12.75">
      <c r="S1476" s="7"/>
    </row>
    <row r="1477" ht="12.75">
      <c r="S1477" s="7"/>
    </row>
    <row r="1478" ht="12.75">
      <c r="S1478" s="7"/>
    </row>
    <row r="1479" ht="12.75">
      <c r="S1479" s="7"/>
    </row>
    <row r="1480" ht="12.75">
      <c r="S1480" s="7"/>
    </row>
    <row r="1481" ht="12.75">
      <c r="S1481" s="7"/>
    </row>
    <row r="1482" ht="12.75">
      <c r="S1482" s="7"/>
    </row>
    <row r="1483" ht="12.75">
      <c r="S1483" s="7"/>
    </row>
    <row r="1484" ht="12.75">
      <c r="S1484" s="7"/>
    </row>
    <row r="1485" ht="12.75">
      <c r="S1485" s="7"/>
    </row>
    <row r="1486" ht="12.75">
      <c r="S1486" s="7"/>
    </row>
    <row r="1487" ht="12.75">
      <c r="S1487" s="7"/>
    </row>
    <row r="1488" ht="12.75">
      <c r="S1488" s="7"/>
    </row>
    <row r="1489" ht="12.75">
      <c r="S1489" s="7"/>
    </row>
    <row r="1490" ht="12.75">
      <c r="S1490" s="7"/>
    </row>
    <row r="1491" ht="12.75">
      <c r="S1491" s="7"/>
    </row>
    <row r="1492" ht="12.75">
      <c r="S1492" s="7"/>
    </row>
    <row r="1493" ht="12.75">
      <c r="S1493" s="7"/>
    </row>
    <row r="1494" ht="12.75">
      <c r="S1494" s="7"/>
    </row>
    <row r="1495" ht="12.75">
      <c r="S1495" s="7"/>
    </row>
    <row r="1496" ht="12.75">
      <c r="S1496" s="7"/>
    </row>
    <row r="1497" ht="12.75">
      <c r="S1497" s="7"/>
    </row>
    <row r="1498" ht="12.75">
      <c r="S1498" s="7"/>
    </row>
    <row r="1499" ht="12.75">
      <c r="S1499" s="7"/>
    </row>
    <row r="1500" ht="12.75">
      <c r="S1500" s="7"/>
    </row>
    <row r="1501" ht="12.75">
      <c r="S1501" s="7"/>
    </row>
    <row r="1502" ht="12.75">
      <c r="S1502" s="7"/>
    </row>
    <row r="1503" ht="12.75">
      <c r="S1503" s="7"/>
    </row>
    <row r="1504" ht="12.75">
      <c r="S1504" s="7"/>
    </row>
    <row r="1505" ht="12.75">
      <c r="S1505" s="7"/>
    </row>
    <row r="1506" ht="12.75">
      <c r="S1506" s="7"/>
    </row>
    <row r="1507" ht="12.75">
      <c r="S1507" s="7"/>
    </row>
    <row r="1508" ht="12.75">
      <c r="S1508" s="7"/>
    </row>
    <row r="1509" ht="12.75">
      <c r="S1509" s="7"/>
    </row>
    <row r="1510" ht="12.75">
      <c r="S1510" s="7"/>
    </row>
    <row r="1511" ht="12.75">
      <c r="S1511" s="7"/>
    </row>
    <row r="1512" ht="12.75">
      <c r="S1512" s="7"/>
    </row>
    <row r="1513" ht="12.75">
      <c r="S1513" s="7"/>
    </row>
    <row r="1514" ht="12.75">
      <c r="S1514" s="7"/>
    </row>
    <row r="1515" ht="12.75">
      <c r="S1515" s="7"/>
    </row>
    <row r="1516" ht="12.75">
      <c r="S1516" s="7"/>
    </row>
    <row r="1517" ht="12.75">
      <c r="S1517" s="7"/>
    </row>
    <row r="1518" ht="12.75">
      <c r="S1518" s="7"/>
    </row>
    <row r="1519" ht="12.75">
      <c r="S1519" s="7"/>
    </row>
    <row r="1520" ht="12.75">
      <c r="S1520" s="7"/>
    </row>
    <row r="1521" ht="12.75">
      <c r="S1521" s="7"/>
    </row>
    <row r="1522" ht="12.75">
      <c r="S1522" s="7"/>
    </row>
    <row r="1523" ht="12.75">
      <c r="S1523" s="7"/>
    </row>
    <row r="1524" ht="12.75">
      <c r="S1524" s="7"/>
    </row>
    <row r="1525" ht="12.75">
      <c r="S1525" s="7"/>
    </row>
    <row r="1526" ht="12.75">
      <c r="S1526" s="7"/>
    </row>
    <row r="1527" ht="12.75">
      <c r="S1527" s="7"/>
    </row>
    <row r="1528" ht="12.75">
      <c r="S1528" s="7"/>
    </row>
    <row r="1529" ht="12.75">
      <c r="S1529" s="7"/>
    </row>
    <row r="1530" ht="12.75">
      <c r="S1530" s="7"/>
    </row>
    <row r="1531" ht="12.75">
      <c r="S1531" s="7"/>
    </row>
    <row r="1532" ht="12.75">
      <c r="S1532" s="7"/>
    </row>
    <row r="1533" ht="12.75">
      <c r="S1533" s="7"/>
    </row>
    <row r="1534" ht="12.75">
      <c r="S1534" s="7"/>
    </row>
    <row r="1535" ht="12.75">
      <c r="S1535" s="7"/>
    </row>
    <row r="1536" ht="12.75">
      <c r="S1536" s="7"/>
    </row>
    <row r="1537" ht="12.75">
      <c r="S1537" s="7"/>
    </row>
    <row r="1538" ht="12.75">
      <c r="S1538" s="7"/>
    </row>
    <row r="1539" ht="12.75">
      <c r="S1539" s="7"/>
    </row>
    <row r="1540" ht="12.75">
      <c r="S1540" s="7"/>
    </row>
    <row r="1541" ht="12.75">
      <c r="S1541" s="7"/>
    </row>
    <row r="1542" ht="12.75">
      <c r="S1542" s="7"/>
    </row>
    <row r="1543" ht="12.75">
      <c r="S1543" s="7"/>
    </row>
    <row r="1544" ht="12.75">
      <c r="S1544" s="7"/>
    </row>
    <row r="1545" ht="12.75">
      <c r="S1545" s="7"/>
    </row>
    <row r="1546" ht="12.75">
      <c r="S1546" s="7"/>
    </row>
    <row r="1547" ht="12.75">
      <c r="S1547" s="7"/>
    </row>
    <row r="1548" ht="12.75">
      <c r="S1548" s="7"/>
    </row>
    <row r="1549" ht="12.75">
      <c r="S1549" s="7"/>
    </row>
    <row r="1550" ht="12.75">
      <c r="S1550" s="7"/>
    </row>
    <row r="1551" ht="12.75">
      <c r="S1551" s="7"/>
    </row>
    <row r="1552" ht="12.75">
      <c r="S1552" s="7"/>
    </row>
    <row r="1553" ht="12.75">
      <c r="S1553" s="7"/>
    </row>
    <row r="1554" ht="12.75">
      <c r="S1554" s="7"/>
    </row>
    <row r="1555" ht="12.75">
      <c r="S1555" s="7"/>
    </row>
    <row r="1556" ht="12.75">
      <c r="S1556" s="7"/>
    </row>
    <row r="1557" ht="12.75">
      <c r="S1557" s="7"/>
    </row>
    <row r="1558" ht="12.75">
      <c r="S1558" s="7"/>
    </row>
    <row r="1559" ht="12.75">
      <c r="S1559" s="7"/>
    </row>
    <row r="1560" ht="12.75">
      <c r="S1560" s="7"/>
    </row>
    <row r="1561" ht="12.75">
      <c r="S1561" s="7"/>
    </row>
    <row r="1562" ht="12.75">
      <c r="S1562" s="7"/>
    </row>
    <row r="1563" ht="12.75">
      <c r="S1563" s="7"/>
    </row>
    <row r="1564" ht="12.75">
      <c r="S1564" s="7"/>
    </row>
    <row r="1565" ht="12.75">
      <c r="S1565" s="7"/>
    </row>
    <row r="1566" ht="12.75">
      <c r="S1566" s="7"/>
    </row>
    <row r="1567" ht="12.75">
      <c r="S1567" s="7"/>
    </row>
    <row r="1568" ht="12.75">
      <c r="S1568" s="7"/>
    </row>
    <row r="1569" ht="12.75">
      <c r="S1569" s="7"/>
    </row>
    <row r="1570" ht="12.75">
      <c r="S1570" s="7"/>
    </row>
    <row r="1571" ht="12.75">
      <c r="S1571" s="7"/>
    </row>
    <row r="1572" ht="12.75">
      <c r="S1572" s="7"/>
    </row>
    <row r="1573" ht="12.75">
      <c r="S1573" s="7"/>
    </row>
    <row r="1574" ht="12.75">
      <c r="S1574" s="7"/>
    </row>
    <row r="1575" ht="12.75">
      <c r="S1575" s="7"/>
    </row>
    <row r="1576" ht="12.75">
      <c r="S1576" s="7"/>
    </row>
    <row r="1577" ht="12.75">
      <c r="S1577" s="7"/>
    </row>
    <row r="1578" ht="12.75">
      <c r="S1578" s="7"/>
    </row>
    <row r="1579" ht="12.75">
      <c r="S1579" s="7"/>
    </row>
    <row r="1580" ht="12.75">
      <c r="S1580" s="7"/>
    </row>
    <row r="1581" ht="12.75">
      <c r="S1581" s="7"/>
    </row>
    <row r="1582" ht="12.75">
      <c r="S1582" s="7"/>
    </row>
    <row r="1583" ht="12.75">
      <c r="S1583" s="7"/>
    </row>
    <row r="1584" ht="12.75">
      <c r="S1584" s="7"/>
    </row>
    <row r="1585" ht="12.75">
      <c r="S1585" s="7"/>
    </row>
    <row r="1586" ht="12.75">
      <c r="S1586" s="7"/>
    </row>
    <row r="1587" ht="12.75">
      <c r="S1587" s="7"/>
    </row>
    <row r="1588" ht="12.75">
      <c r="S1588" s="7"/>
    </row>
    <row r="1589" ht="12.75">
      <c r="S1589" s="7"/>
    </row>
    <row r="1590" ht="12.75">
      <c r="S1590" s="7"/>
    </row>
    <row r="1591" ht="12.75">
      <c r="S1591" s="7"/>
    </row>
    <row r="1592" ht="12.75">
      <c r="S1592" s="7"/>
    </row>
    <row r="1593" ht="12.75">
      <c r="S1593" s="7"/>
    </row>
    <row r="1594" ht="12.75">
      <c r="S1594" s="7"/>
    </row>
    <row r="1595" ht="12.75">
      <c r="S1595" s="7"/>
    </row>
    <row r="1596" ht="12.75">
      <c r="S1596" s="7"/>
    </row>
    <row r="1597" ht="12.75">
      <c r="S1597" s="7"/>
    </row>
    <row r="1598" ht="12.75">
      <c r="S1598" s="7"/>
    </row>
    <row r="1599" ht="12.75">
      <c r="S1599" s="7"/>
    </row>
    <row r="1600" ht="12.75">
      <c r="S1600" s="7"/>
    </row>
    <row r="1601" ht="12.75">
      <c r="S1601" s="7"/>
    </row>
    <row r="1602" ht="12.75">
      <c r="S1602" s="7"/>
    </row>
    <row r="1603" ht="12.75">
      <c r="S1603" s="7"/>
    </row>
    <row r="1604" ht="12.75">
      <c r="S1604" s="7"/>
    </row>
    <row r="1605" ht="12.75">
      <c r="S1605" s="7"/>
    </row>
    <row r="1606" ht="12.75">
      <c r="S1606" s="7"/>
    </row>
    <row r="1607" ht="12.75">
      <c r="S1607" s="7"/>
    </row>
    <row r="1608" ht="12.75">
      <c r="S1608" s="7"/>
    </row>
    <row r="1609" ht="12.75">
      <c r="S1609" s="7"/>
    </row>
    <row r="1610" ht="12.75">
      <c r="S1610" s="7"/>
    </row>
    <row r="1611" ht="12.75">
      <c r="S1611" s="7"/>
    </row>
    <row r="1612" ht="12.75">
      <c r="S1612" s="7"/>
    </row>
    <row r="1613" ht="12.75">
      <c r="S1613" s="7"/>
    </row>
    <row r="1614" ht="12.75">
      <c r="S1614" s="7"/>
    </row>
    <row r="1615" ht="12.75">
      <c r="S1615" s="7"/>
    </row>
    <row r="1616" ht="12.75">
      <c r="S1616" s="7"/>
    </row>
    <row r="1617" ht="12.75">
      <c r="S1617" s="7"/>
    </row>
    <row r="1618" ht="12.75">
      <c r="S1618" s="7"/>
    </row>
    <row r="1619" ht="12.75">
      <c r="S1619" s="7"/>
    </row>
    <row r="1620" ht="12.75">
      <c r="S1620" s="7"/>
    </row>
    <row r="1621" ht="12.75">
      <c r="S1621" s="7"/>
    </row>
    <row r="1622" ht="12.75">
      <c r="S1622" s="7"/>
    </row>
    <row r="1623" ht="12.75">
      <c r="S1623" s="7"/>
    </row>
    <row r="1624" ht="12.75">
      <c r="S1624" s="7"/>
    </row>
    <row r="1625" ht="12.75">
      <c r="S1625" s="7"/>
    </row>
    <row r="1626" ht="12.75">
      <c r="S1626" s="7"/>
    </row>
    <row r="1627" ht="12.75">
      <c r="S1627" s="7"/>
    </row>
    <row r="1628" ht="12.75">
      <c r="S1628" s="7"/>
    </row>
    <row r="1629" ht="12.75">
      <c r="S1629" s="7"/>
    </row>
    <row r="1630" ht="12.75">
      <c r="S1630" s="7"/>
    </row>
    <row r="1631" ht="12.75">
      <c r="S1631" s="7"/>
    </row>
    <row r="1632" ht="12.75">
      <c r="S1632" s="7"/>
    </row>
    <row r="1633" ht="12.75">
      <c r="S1633" s="7"/>
    </row>
    <row r="1634" ht="12.75">
      <c r="S1634" s="7"/>
    </row>
    <row r="1635" ht="12.75">
      <c r="S1635" s="7"/>
    </row>
    <row r="1636" ht="12.75">
      <c r="S1636" s="7"/>
    </row>
    <row r="1637" ht="12.75">
      <c r="S1637" s="7"/>
    </row>
    <row r="1638" ht="12.75">
      <c r="S1638" s="7"/>
    </row>
    <row r="1639" ht="12.75">
      <c r="S1639" s="7"/>
    </row>
    <row r="1640" ht="12.75">
      <c r="S1640" s="7"/>
    </row>
    <row r="1641" ht="12.75">
      <c r="S1641" s="7"/>
    </row>
    <row r="1642" ht="12.75">
      <c r="S1642" s="7"/>
    </row>
    <row r="1643" ht="12.75">
      <c r="S1643" s="7"/>
    </row>
    <row r="1644" ht="12.75">
      <c r="S1644" s="7"/>
    </row>
    <row r="1645" ht="12.75">
      <c r="S1645" s="7"/>
    </row>
    <row r="1646" ht="12.75">
      <c r="S1646" s="7"/>
    </row>
    <row r="1647" ht="12.75">
      <c r="S1647" s="7"/>
    </row>
    <row r="1648" ht="12.75">
      <c r="S1648" s="7"/>
    </row>
    <row r="1649" ht="12.75">
      <c r="S1649" s="7"/>
    </row>
    <row r="1650" ht="12.75">
      <c r="S1650" s="7"/>
    </row>
    <row r="1651" ht="12.75">
      <c r="S1651" s="7"/>
    </row>
    <row r="1652" ht="12.75">
      <c r="S1652" s="7"/>
    </row>
    <row r="1653" ht="12.75">
      <c r="S1653" s="7"/>
    </row>
    <row r="1654" ht="12.75">
      <c r="S1654" s="7"/>
    </row>
    <row r="1655" ht="12.75">
      <c r="S1655" s="7"/>
    </row>
    <row r="1656" ht="12.75">
      <c r="S1656" s="7"/>
    </row>
    <row r="1657" ht="12.75">
      <c r="S1657" s="7"/>
    </row>
    <row r="1658" ht="12.75">
      <c r="S1658" s="7"/>
    </row>
    <row r="1659" ht="12.75">
      <c r="S1659" s="7"/>
    </row>
    <row r="1660" ht="12.75">
      <c r="S1660" s="7"/>
    </row>
    <row r="1661" ht="12.75">
      <c r="S1661" s="7"/>
    </row>
    <row r="1662" ht="12.75">
      <c r="S1662" s="7"/>
    </row>
    <row r="1663" ht="12.75">
      <c r="S1663" s="7"/>
    </row>
    <row r="1664" ht="12.75">
      <c r="S1664" s="7"/>
    </row>
    <row r="1665" ht="12.75">
      <c r="S1665" s="7"/>
    </row>
    <row r="1666" ht="12.75">
      <c r="S1666" s="7"/>
    </row>
    <row r="1667" ht="12.75">
      <c r="S1667" s="7"/>
    </row>
    <row r="1668" ht="12.75">
      <c r="S1668" s="7"/>
    </row>
    <row r="1669" ht="12.75">
      <c r="S1669" s="7"/>
    </row>
    <row r="1670" ht="12.75">
      <c r="S1670" s="7"/>
    </row>
    <row r="1671" ht="12.75">
      <c r="S1671" s="7"/>
    </row>
    <row r="1672" ht="12.75">
      <c r="S1672" s="7"/>
    </row>
    <row r="1673" ht="12.75">
      <c r="S1673" s="7"/>
    </row>
    <row r="1674" ht="12.75">
      <c r="S1674" s="7"/>
    </row>
    <row r="1675" ht="12.75">
      <c r="S1675" s="7"/>
    </row>
    <row r="1676" ht="12.75">
      <c r="S1676" s="7"/>
    </row>
    <row r="1677" ht="12.75">
      <c r="S1677" s="7"/>
    </row>
    <row r="1678" ht="12.75">
      <c r="S1678" s="7"/>
    </row>
    <row r="1679" ht="12.75">
      <c r="S1679" s="7"/>
    </row>
    <row r="1680" ht="12.75">
      <c r="S1680" s="7"/>
    </row>
    <row r="1681" ht="12.75">
      <c r="S1681" s="7"/>
    </row>
    <row r="1682" ht="12.75">
      <c r="S1682" s="7"/>
    </row>
    <row r="1683" ht="12.75">
      <c r="S1683" s="7"/>
    </row>
    <row r="1684" ht="12.75">
      <c r="S1684" s="7"/>
    </row>
    <row r="1685" ht="12.75">
      <c r="S1685" s="7"/>
    </row>
    <row r="1686" ht="12.75">
      <c r="S1686" s="7"/>
    </row>
    <row r="1687" ht="12.75">
      <c r="S1687" s="7"/>
    </row>
    <row r="1688" ht="12.75">
      <c r="S1688" s="7"/>
    </row>
    <row r="1689" ht="12.75">
      <c r="S1689" s="7"/>
    </row>
    <row r="1690" ht="12.75">
      <c r="S1690" s="7"/>
    </row>
    <row r="1691" ht="12.75">
      <c r="S1691" s="7"/>
    </row>
    <row r="1692" ht="12.75">
      <c r="S1692" s="7"/>
    </row>
    <row r="1693" ht="12.75">
      <c r="S1693" s="7"/>
    </row>
    <row r="1694" ht="12.75">
      <c r="S1694" s="7"/>
    </row>
    <row r="1695" ht="12.75">
      <c r="S1695" s="7"/>
    </row>
    <row r="1696" ht="12.75">
      <c r="S1696" s="7"/>
    </row>
    <row r="1697" ht="12.75">
      <c r="S1697" s="7"/>
    </row>
    <row r="1698" ht="12.75">
      <c r="S1698" s="7"/>
    </row>
    <row r="1699" ht="12.75">
      <c r="S1699" s="7"/>
    </row>
    <row r="1700" ht="12.75">
      <c r="S1700" s="7"/>
    </row>
    <row r="1701" ht="12.75">
      <c r="S1701" s="7"/>
    </row>
    <row r="1702" ht="12.75">
      <c r="S1702" s="7"/>
    </row>
    <row r="1703" ht="12.75">
      <c r="S1703" s="7"/>
    </row>
    <row r="1704" ht="12.75">
      <c r="S1704" s="7"/>
    </row>
    <row r="1705" ht="12.75">
      <c r="S1705" s="7"/>
    </row>
    <row r="1706" ht="12.75">
      <c r="S1706" s="7"/>
    </row>
    <row r="1707" ht="12.75">
      <c r="S1707" s="7"/>
    </row>
    <row r="1708" ht="12.75">
      <c r="S1708" s="7"/>
    </row>
    <row r="1709" ht="12.75">
      <c r="S1709" s="7"/>
    </row>
    <row r="1710" ht="12.75">
      <c r="S1710" s="7"/>
    </row>
    <row r="1711" ht="12.75">
      <c r="S1711" s="7"/>
    </row>
    <row r="1712" ht="12.75">
      <c r="S1712" s="7"/>
    </row>
    <row r="1713" ht="12.75">
      <c r="S1713" s="7"/>
    </row>
    <row r="1714" ht="12.75">
      <c r="S1714" s="7"/>
    </row>
    <row r="1715" ht="12.75">
      <c r="S1715" s="7"/>
    </row>
    <row r="1716" ht="12.75">
      <c r="S1716" s="7"/>
    </row>
    <row r="1717" ht="12.75">
      <c r="S1717" s="7"/>
    </row>
    <row r="1718" ht="12.75">
      <c r="S1718" s="7"/>
    </row>
    <row r="1719" ht="12.75">
      <c r="S1719" s="7"/>
    </row>
    <row r="1720" ht="12.75">
      <c r="S1720" s="7"/>
    </row>
    <row r="1721" ht="12.75">
      <c r="S1721" s="7"/>
    </row>
    <row r="1722" ht="12.75">
      <c r="S1722" s="7"/>
    </row>
    <row r="1723" ht="12.75">
      <c r="S1723" s="7"/>
    </row>
    <row r="1724" ht="12.75">
      <c r="S1724" s="7"/>
    </row>
    <row r="1725" ht="12.75">
      <c r="S1725" s="7"/>
    </row>
    <row r="1726" ht="12.75">
      <c r="S1726" s="7"/>
    </row>
    <row r="1727" ht="12.75">
      <c r="S1727" s="7"/>
    </row>
    <row r="1728" ht="12.75">
      <c r="S1728" s="7"/>
    </row>
    <row r="1729" ht="12.75">
      <c r="S1729" s="7"/>
    </row>
    <row r="1730" ht="12.75">
      <c r="S1730" s="7"/>
    </row>
    <row r="1731" ht="12.75">
      <c r="S1731" s="7"/>
    </row>
    <row r="1732" ht="12.75">
      <c r="S1732" s="7"/>
    </row>
    <row r="1733" ht="12.75">
      <c r="S1733" s="7"/>
    </row>
    <row r="1734" ht="12.75">
      <c r="S1734" s="7"/>
    </row>
    <row r="1735" ht="12.75">
      <c r="S1735" s="7"/>
    </row>
    <row r="1736" ht="12.75">
      <c r="S1736" s="7"/>
    </row>
    <row r="1737" ht="12.75">
      <c r="S1737" s="7"/>
    </row>
    <row r="1738" ht="12.75">
      <c r="S1738" s="7"/>
    </row>
    <row r="1739" ht="12.75">
      <c r="S1739" s="7"/>
    </row>
    <row r="1740" ht="12.75">
      <c r="S1740" s="7"/>
    </row>
    <row r="1741" ht="12.75">
      <c r="S1741" s="7"/>
    </row>
    <row r="1742" ht="12.75">
      <c r="S1742" s="7"/>
    </row>
    <row r="1743" ht="12.75">
      <c r="S1743" s="7"/>
    </row>
    <row r="1744" ht="12.75">
      <c r="S1744" s="7"/>
    </row>
    <row r="1745" ht="12.75">
      <c r="S1745" s="7"/>
    </row>
    <row r="1746" ht="12.75">
      <c r="S1746" s="7"/>
    </row>
    <row r="1747" ht="12.75">
      <c r="S1747" s="7"/>
    </row>
    <row r="1748" ht="12.75">
      <c r="S1748" s="7"/>
    </row>
    <row r="1749" ht="12.75">
      <c r="S1749" s="7"/>
    </row>
    <row r="1750" ht="12.75">
      <c r="S1750" s="7"/>
    </row>
    <row r="1751" ht="12.75">
      <c r="S1751" s="7"/>
    </row>
    <row r="1752" ht="12.75">
      <c r="S1752" s="7"/>
    </row>
    <row r="1753" ht="12.75">
      <c r="S1753" s="7"/>
    </row>
    <row r="1754" ht="12.75">
      <c r="S1754" s="7"/>
    </row>
    <row r="1755" ht="12.75">
      <c r="S1755" s="7"/>
    </row>
    <row r="1756" ht="12.75">
      <c r="S1756" s="7"/>
    </row>
    <row r="1757" ht="12.75">
      <c r="S1757" s="7"/>
    </row>
    <row r="1758" ht="12.75">
      <c r="S1758" s="7"/>
    </row>
    <row r="1759" ht="12.75">
      <c r="S1759" s="7"/>
    </row>
    <row r="1760" ht="12.75">
      <c r="S1760" s="7"/>
    </row>
    <row r="1761" ht="12.75">
      <c r="S1761" s="7"/>
    </row>
    <row r="1762" ht="12.75">
      <c r="S1762" s="7"/>
    </row>
    <row r="1763" ht="12.75">
      <c r="S1763" s="7"/>
    </row>
    <row r="1764" ht="12.75">
      <c r="S1764" s="7"/>
    </row>
    <row r="1765" ht="12.75">
      <c r="S1765" s="7"/>
    </row>
    <row r="1766" ht="12.75">
      <c r="S1766" s="7"/>
    </row>
    <row r="1767" ht="12.75">
      <c r="S1767" s="7"/>
    </row>
    <row r="1768" ht="12.75">
      <c r="S1768" s="7"/>
    </row>
    <row r="1769" ht="12.75">
      <c r="S1769" s="7"/>
    </row>
    <row r="1770" ht="12.75">
      <c r="S1770" s="7"/>
    </row>
    <row r="1771" ht="12.75">
      <c r="S1771" s="7"/>
    </row>
    <row r="1772" ht="12.75">
      <c r="S1772" s="7"/>
    </row>
    <row r="1773" ht="12.75">
      <c r="S1773" s="7"/>
    </row>
    <row r="1774" ht="12.75">
      <c r="S1774" s="7"/>
    </row>
    <row r="1775" ht="12.75">
      <c r="S1775" s="7"/>
    </row>
    <row r="1776" ht="12.75">
      <c r="S1776" s="7"/>
    </row>
    <row r="1777" ht="12.75">
      <c r="S1777" s="7"/>
    </row>
    <row r="1778" ht="12.75">
      <c r="S1778" s="7"/>
    </row>
    <row r="1779" ht="12.75">
      <c r="S1779" s="7"/>
    </row>
    <row r="1780" ht="12.75">
      <c r="S1780" s="7"/>
    </row>
    <row r="1781" ht="12.75">
      <c r="S1781" s="7"/>
    </row>
    <row r="1782" ht="12.75">
      <c r="S1782" s="7"/>
    </row>
    <row r="1783" ht="12.75">
      <c r="S1783" s="7"/>
    </row>
    <row r="1784" ht="12.75">
      <c r="S1784" s="7"/>
    </row>
    <row r="1785" ht="12.75">
      <c r="S1785" s="7"/>
    </row>
    <row r="1786" ht="12.75">
      <c r="S1786" s="7"/>
    </row>
    <row r="1787" ht="12.75">
      <c r="S1787" s="7"/>
    </row>
    <row r="1788" ht="12.75">
      <c r="S1788" s="7"/>
    </row>
    <row r="1789" ht="12.75">
      <c r="S1789" s="7"/>
    </row>
    <row r="1790" ht="12.75">
      <c r="S1790" s="7"/>
    </row>
    <row r="1791" ht="12.75">
      <c r="S1791" s="7"/>
    </row>
    <row r="1792" ht="12.75">
      <c r="S1792" s="7"/>
    </row>
    <row r="1793" ht="12.75">
      <c r="S1793" s="7"/>
    </row>
    <row r="1794" ht="12.75">
      <c r="S1794" s="7"/>
    </row>
    <row r="1795" ht="12.75">
      <c r="S1795" s="7"/>
    </row>
    <row r="1796" ht="12.75">
      <c r="S1796" s="7"/>
    </row>
    <row r="1797" ht="12.75">
      <c r="S1797" s="7"/>
    </row>
    <row r="1798" ht="12.75">
      <c r="S1798" s="7"/>
    </row>
    <row r="1799" ht="12.75">
      <c r="S1799" s="7"/>
    </row>
    <row r="1800" ht="12.75">
      <c r="S1800" s="7"/>
    </row>
    <row r="1801" ht="12.75">
      <c r="S1801" s="7"/>
    </row>
    <row r="1802" ht="12.75">
      <c r="S1802" s="7"/>
    </row>
    <row r="1803" ht="12.75">
      <c r="S1803" s="7"/>
    </row>
    <row r="1804" ht="12.75">
      <c r="S1804" s="7"/>
    </row>
    <row r="1805" ht="12.75">
      <c r="S1805" s="7"/>
    </row>
    <row r="1806" ht="12.75">
      <c r="S1806" s="7"/>
    </row>
    <row r="1807" ht="12.75">
      <c r="S1807" s="7"/>
    </row>
    <row r="1808" ht="12.75">
      <c r="S1808" s="7"/>
    </row>
    <row r="1809" ht="12.75">
      <c r="S1809" s="7"/>
    </row>
    <row r="1810" ht="12.75">
      <c r="S1810" s="7"/>
    </row>
    <row r="1811" ht="12.75">
      <c r="S1811" s="7"/>
    </row>
    <row r="1812" ht="12.75">
      <c r="S1812" s="7"/>
    </row>
    <row r="1813" ht="12.75">
      <c r="S1813" s="7"/>
    </row>
    <row r="1814" ht="12.75">
      <c r="S1814" s="7"/>
    </row>
    <row r="1815" ht="12.75">
      <c r="S1815" s="7"/>
    </row>
    <row r="1816" ht="12.75">
      <c r="S1816" s="7"/>
    </row>
    <row r="1817" ht="12.75">
      <c r="S1817" s="7"/>
    </row>
    <row r="1818" ht="12.75">
      <c r="S1818" s="7"/>
    </row>
    <row r="1819" ht="12.75">
      <c r="S1819" s="7"/>
    </row>
    <row r="1820" ht="12.75">
      <c r="S1820" s="7"/>
    </row>
    <row r="1821" ht="12.75">
      <c r="S1821" s="7"/>
    </row>
    <row r="1822" ht="12.75">
      <c r="S1822" s="7"/>
    </row>
    <row r="1823" ht="12.75">
      <c r="S1823" s="7"/>
    </row>
    <row r="1824" ht="12.75">
      <c r="S1824" s="7"/>
    </row>
    <row r="1825" ht="12.75">
      <c r="S1825" s="7"/>
    </row>
    <row r="1826" ht="12.75">
      <c r="S1826" s="7"/>
    </row>
    <row r="1827" ht="12.75">
      <c r="S1827" s="7"/>
    </row>
    <row r="1828" ht="12.75">
      <c r="S1828" s="7"/>
    </row>
    <row r="1829" ht="12.75">
      <c r="S1829" s="7"/>
    </row>
    <row r="1830" ht="12.75">
      <c r="S1830" s="7"/>
    </row>
    <row r="1831" ht="12.75">
      <c r="S1831" s="7"/>
    </row>
    <row r="1832" ht="12.75">
      <c r="S1832" s="7"/>
    </row>
    <row r="1833" ht="12.75">
      <c r="S1833" s="7"/>
    </row>
    <row r="1834" ht="12.75">
      <c r="S1834" s="7"/>
    </row>
    <row r="1835" ht="12.75">
      <c r="S1835" s="7"/>
    </row>
    <row r="1836" ht="12.75">
      <c r="S1836" s="7"/>
    </row>
    <row r="1837" ht="12.75">
      <c r="S1837" s="7"/>
    </row>
    <row r="1838" ht="12.75">
      <c r="S1838" s="7"/>
    </row>
    <row r="1839" ht="12.75">
      <c r="S1839" s="7"/>
    </row>
    <row r="1840" ht="12.75">
      <c r="S1840" s="7"/>
    </row>
    <row r="1841" ht="12.75">
      <c r="S1841" s="7"/>
    </row>
    <row r="1842" ht="12.75">
      <c r="S1842" s="7"/>
    </row>
    <row r="1843" ht="12.75">
      <c r="S1843" s="7"/>
    </row>
    <row r="1844" ht="12.75">
      <c r="S1844" s="7"/>
    </row>
    <row r="1845" ht="12.75">
      <c r="S1845" s="7"/>
    </row>
    <row r="1846" ht="12.75">
      <c r="S1846" s="7"/>
    </row>
    <row r="1847" ht="12.75">
      <c r="S1847" s="7"/>
    </row>
    <row r="1848" ht="12.75">
      <c r="S1848" s="7"/>
    </row>
    <row r="1849" ht="12.75">
      <c r="S1849" s="7"/>
    </row>
    <row r="1850" ht="12.75">
      <c r="S1850" s="7"/>
    </row>
    <row r="1851" ht="12.75">
      <c r="S1851" s="7"/>
    </row>
    <row r="1852" ht="12.75">
      <c r="S1852" s="7"/>
    </row>
    <row r="1853" ht="12.75">
      <c r="S1853" s="7"/>
    </row>
    <row r="1854" ht="12.75">
      <c r="S1854" s="7"/>
    </row>
    <row r="1855" ht="12.75">
      <c r="S1855" s="7"/>
    </row>
    <row r="1856" ht="12.75">
      <c r="S1856" s="7"/>
    </row>
    <row r="1857" ht="12.75">
      <c r="S1857" s="7"/>
    </row>
    <row r="1858" ht="12.75">
      <c r="S1858" s="7"/>
    </row>
    <row r="1859" ht="12.75">
      <c r="S1859" s="7"/>
    </row>
    <row r="1860" ht="12.75">
      <c r="S1860" s="7"/>
    </row>
    <row r="1861" ht="12.75">
      <c r="S1861" s="7"/>
    </row>
    <row r="1862" ht="12.75">
      <c r="S1862" s="7"/>
    </row>
    <row r="1863" ht="12.75">
      <c r="S1863" s="7"/>
    </row>
    <row r="1864" ht="12.75">
      <c r="S1864" s="7"/>
    </row>
    <row r="1865" ht="12.75">
      <c r="S1865" s="7"/>
    </row>
    <row r="1866" ht="12.75">
      <c r="S1866" s="7"/>
    </row>
    <row r="1867" ht="12.75">
      <c r="S1867" s="7"/>
    </row>
    <row r="1868" ht="12.75">
      <c r="S1868" s="7"/>
    </row>
    <row r="1869" ht="12.75">
      <c r="S1869" s="7"/>
    </row>
    <row r="1870" ht="12.75">
      <c r="S1870" s="7"/>
    </row>
    <row r="1871" ht="12.75">
      <c r="S1871" s="7"/>
    </row>
    <row r="1872" ht="12.75">
      <c r="S1872" s="7"/>
    </row>
    <row r="1873" ht="12.75">
      <c r="S1873" s="7"/>
    </row>
    <row r="1874" ht="12.75">
      <c r="S1874" s="7"/>
    </row>
    <row r="1875" ht="12.75">
      <c r="S1875" s="7"/>
    </row>
    <row r="1876" ht="12.75">
      <c r="S1876" s="7"/>
    </row>
    <row r="1877" ht="12.75">
      <c r="S1877" s="7"/>
    </row>
    <row r="1878" ht="12.75">
      <c r="S1878" s="7"/>
    </row>
    <row r="1879" ht="12.75">
      <c r="S1879" s="7"/>
    </row>
    <row r="1880" ht="12.75">
      <c r="S1880" s="7"/>
    </row>
    <row r="1881" ht="12.75">
      <c r="S1881" s="7"/>
    </row>
    <row r="1882" ht="12.75">
      <c r="S1882" s="7"/>
    </row>
    <row r="1883" ht="12.75">
      <c r="S1883" s="7"/>
    </row>
    <row r="1884" ht="12.75">
      <c r="S1884" s="7"/>
    </row>
    <row r="1885" ht="12.75">
      <c r="S1885" s="7"/>
    </row>
    <row r="1886" ht="12.75">
      <c r="S1886" s="7"/>
    </row>
    <row r="1887" ht="12.75">
      <c r="S1887" s="7"/>
    </row>
    <row r="1888" ht="12.75">
      <c r="S1888" s="7"/>
    </row>
    <row r="1889" ht="12.75">
      <c r="S1889" s="7"/>
    </row>
    <row r="1890" ht="12.75">
      <c r="S1890" s="7"/>
    </row>
    <row r="1891" ht="12.75">
      <c r="S1891" s="7"/>
    </row>
    <row r="1892" ht="12.75">
      <c r="S1892" s="7"/>
    </row>
    <row r="1893" ht="12.75">
      <c r="S1893" s="7"/>
    </row>
    <row r="1894" ht="12.75">
      <c r="S1894" s="7"/>
    </row>
    <row r="1895" ht="12.75">
      <c r="S1895" s="7"/>
    </row>
    <row r="1896" ht="12.75">
      <c r="S1896" s="7"/>
    </row>
    <row r="1897" ht="12.75">
      <c r="S1897" s="7"/>
    </row>
    <row r="1898" ht="12.75">
      <c r="S1898" s="7"/>
    </row>
    <row r="1899" ht="12.75">
      <c r="S1899" s="7"/>
    </row>
    <row r="1900" ht="12.75">
      <c r="S1900" s="7"/>
    </row>
    <row r="1901" ht="12.75">
      <c r="S1901" s="7"/>
    </row>
    <row r="1902" ht="12.75">
      <c r="S1902" s="7"/>
    </row>
    <row r="1903" ht="12.75">
      <c r="S1903" s="7"/>
    </row>
    <row r="1904" ht="12.75">
      <c r="S1904" s="7"/>
    </row>
    <row r="1905" ht="12.75">
      <c r="S1905" s="7"/>
    </row>
    <row r="1906" ht="12.75">
      <c r="S1906" s="7"/>
    </row>
    <row r="1907" ht="12.75">
      <c r="S1907" s="7"/>
    </row>
    <row r="1908" ht="12.75">
      <c r="S1908" s="7"/>
    </row>
    <row r="1909" ht="12.75">
      <c r="S1909" s="7"/>
    </row>
    <row r="1910" ht="12.75">
      <c r="S1910" s="7"/>
    </row>
    <row r="1911" ht="12.75">
      <c r="S1911" s="7"/>
    </row>
    <row r="1912" ht="12.75">
      <c r="S1912" s="7"/>
    </row>
    <row r="1913" ht="12.75">
      <c r="S1913" s="7"/>
    </row>
    <row r="1914" ht="12.75">
      <c r="S1914" s="7"/>
    </row>
    <row r="1915" ht="12.75">
      <c r="S1915" s="7"/>
    </row>
    <row r="1916" ht="12.75">
      <c r="S1916" s="7"/>
    </row>
    <row r="1917" ht="12.75">
      <c r="S1917" s="7"/>
    </row>
    <row r="1918" ht="12.75">
      <c r="S1918" s="7"/>
    </row>
    <row r="1919" ht="12.75">
      <c r="S1919" s="7"/>
    </row>
    <row r="1920" ht="12.75">
      <c r="S1920" s="7"/>
    </row>
    <row r="1921" ht="12.75">
      <c r="S1921" s="7"/>
    </row>
    <row r="1922" ht="12.75">
      <c r="S1922" s="7"/>
    </row>
    <row r="1923" ht="12.75">
      <c r="S1923" s="7"/>
    </row>
    <row r="1924" ht="12.75">
      <c r="S1924" s="7"/>
    </row>
    <row r="1925" ht="12.75">
      <c r="S1925" s="7"/>
    </row>
    <row r="1926" ht="12.75">
      <c r="S1926" s="7"/>
    </row>
    <row r="1927" ht="12.75">
      <c r="S1927" s="7"/>
    </row>
    <row r="1928" ht="12.75">
      <c r="S1928" s="7"/>
    </row>
    <row r="1929" ht="12.75">
      <c r="S1929" s="7"/>
    </row>
    <row r="1930" ht="12.75">
      <c r="S1930" s="7"/>
    </row>
    <row r="1931" ht="12.75">
      <c r="S1931" s="7"/>
    </row>
    <row r="1932" ht="12.75">
      <c r="S1932" s="7"/>
    </row>
    <row r="1933" ht="12.75">
      <c r="S1933" s="7"/>
    </row>
    <row r="1934" ht="12.75">
      <c r="S1934" s="7"/>
    </row>
    <row r="1935" ht="12.75">
      <c r="S1935" s="7"/>
    </row>
    <row r="1936" ht="12.75">
      <c r="S1936" s="7"/>
    </row>
    <row r="1937" ht="12.75">
      <c r="S1937" s="7"/>
    </row>
    <row r="1938" ht="12.75">
      <c r="S1938" s="7"/>
    </row>
    <row r="1939" ht="12.75">
      <c r="S1939" s="7"/>
    </row>
    <row r="1940" ht="12.75">
      <c r="S1940" s="7"/>
    </row>
    <row r="1941" ht="12.75">
      <c r="S1941" s="7"/>
    </row>
    <row r="1942" ht="12.75">
      <c r="S1942" s="7"/>
    </row>
    <row r="1943" ht="12.75">
      <c r="S1943" s="7"/>
    </row>
    <row r="1944" ht="12.75">
      <c r="S1944" s="7"/>
    </row>
    <row r="1945" ht="12.75">
      <c r="S1945" s="7"/>
    </row>
    <row r="1946" ht="12.75">
      <c r="S1946" s="7"/>
    </row>
    <row r="1947" ht="12.75">
      <c r="S1947" s="7"/>
    </row>
    <row r="1948" ht="12.75">
      <c r="S1948" s="7"/>
    </row>
    <row r="1949" ht="12.75">
      <c r="S1949" s="7"/>
    </row>
    <row r="1950" ht="12.75">
      <c r="S1950" s="7"/>
    </row>
    <row r="1951" ht="12.75">
      <c r="S1951" s="7"/>
    </row>
    <row r="1952" ht="12.75">
      <c r="S1952" s="7"/>
    </row>
    <row r="1953" ht="12.75">
      <c r="S1953" s="7"/>
    </row>
    <row r="1954" ht="12.75">
      <c r="S1954" s="7"/>
    </row>
    <row r="1955" ht="12.75">
      <c r="S1955" s="7"/>
    </row>
    <row r="1956" ht="12.75">
      <c r="S1956" s="7"/>
    </row>
    <row r="1957" ht="12.75">
      <c r="S1957" s="7"/>
    </row>
    <row r="1958" ht="12.75">
      <c r="S1958" s="7"/>
    </row>
    <row r="1959" ht="12.75">
      <c r="S1959" s="7"/>
    </row>
    <row r="1960" ht="12.75">
      <c r="S1960" s="7"/>
    </row>
    <row r="1961" ht="12.75">
      <c r="S1961" s="7"/>
    </row>
    <row r="1962" ht="12.75">
      <c r="S1962" s="7"/>
    </row>
    <row r="1963" ht="12.75">
      <c r="S1963" s="7"/>
    </row>
    <row r="1964" ht="12.75">
      <c r="S1964" s="7"/>
    </row>
    <row r="1965" ht="12.75">
      <c r="S1965" s="7"/>
    </row>
    <row r="1966" ht="12.75">
      <c r="S1966" s="7"/>
    </row>
    <row r="1967" ht="12.75">
      <c r="S1967" s="7"/>
    </row>
    <row r="1968" ht="12.75">
      <c r="S1968" s="7"/>
    </row>
    <row r="1969" ht="12.75">
      <c r="S1969" s="7"/>
    </row>
    <row r="1970" ht="12.75">
      <c r="S1970" s="7"/>
    </row>
    <row r="1971" ht="12.75">
      <c r="S1971" s="7"/>
    </row>
    <row r="1972" ht="12.75">
      <c r="S1972" s="7"/>
    </row>
    <row r="1973" ht="12.75">
      <c r="S1973" s="7"/>
    </row>
    <row r="1974" ht="12.75">
      <c r="S1974" s="7"/>
    </row>
    <row r="1975" ht="12.75">
      <c r="S1975" s="7"/>
    </row>
    <row r="1976" ht="12.75">
      <c r="S1976" s="7"/>
    </row>
    <row r="1977" ht="12.75">
      <c r="S1977" s="7"/>
    </row>
    <row r="1978" ht="12.75">
      <c r="S1978" s="7"/>
    </row>
    <row r="1979" ht="12.75">
      <c r="S1979" s="7"/>
    </row>
    <row r="1980" ht="12.75">
      <c r="S1980" s="7"/>
    </row>
    <row r="1981" ht="12.75">
      <c r="S1981" s="7"/>
    </row>
    <row r="1982" ht="12.75">
      <c r="S1982" s="7"/>
    </row>
    <row r="1983" ht="12.75">
      <c r="S1983" s="7"/>
    </row>
    <row r="1984" ht="12.75">
      <c r="S1984" s="7"/>
    </row>
    <row r="1985" ht="12.75">
      <c r="S1985" s="7"/>
    </row>
    <row r="1986" ht="12.75">
      <c r="S1986" s="7"/>
    </row>
    <row r="1987" ht="12.75">
      <c r="S1987" s="7"/>
    </row>
    <row r="1988" ht="12.75">
      <c r="S1988" s="7"/>
    </row>
    <row r="1989" ht="12.75">
      <c r="S1989" s="7"/>
    </row>
    <row r="1990" ht="12.75">
      <c r="S1990" s="7"/>
    </row>
    <row r="1991" ht="12.75">
      <c r="S1991" s="7"/>
    </row>
    <row r="1992" ht="12.75">
      <c r="S1992" s="7"/>
    </row>
    <row r="1993" ht="12.75">
      <c r="S1993" s="7"/>
    </row>
    <row r="1994" ht="12.75">
      <c r="S1994" s="7"/>
    </row>
    <row r="1995" ht="12.75">
      <c r="S1995" s="7"/>
    </row>
    <row r="1996" ht="12.75">
      <c r="S1996" s="7"/>
    </row>
    <row r="1997" ht="12.75">
      <c r="S1997" s="7"/>
    </row>
    <row r="1998" ht="12.75">
      <c r="S1998" s="7"/>
    </row>
    <row r="1999" ht="12.75">
      <c r="S1999" s="7"/>
    </row>
    <row r="2000" ht="12.75">
      <c r="S2000" s="7"/>
    </row>
    <row r="2001" ht="12.75">
      <c r="S2001" s="7"/>
    </row>
    <row r="2002" ht="12.75">
      <c r="S2002" s="7"/>
    </row>
    <row r="2003" ht="12.75">
      <c r="S2003" s="7"/>
    </row>
    <row r="2004" ht="12.75">
      <c r="S2004" s="7"/>
    </row>
    <row r="2005" ht="12.75">
      <c r="S2005" s="7"/>
    </row>
    <row r="2006" ht="12.75">
      <c r="S2006" s="7"/>
    </row>
    <row r="2007" ht="12.75">
      <c r="S2007" s="7"/>
    </row>
    <row r="2008" ht="12.75">
      <c r="S2008" s="7"/>
    </row>
    <row r="2009" ht="12.75">
      <c r="S2009" s="7"/>
    </row>
    <row r="2010" ht="12.75">
      <c r="S2010" s="7"/>
    </row>
    <row r="2011" ht="12.75">
      <c r="S2011" s="7"/>
    </row>
    <row r="2012" ht="12.75">
      <c r="S2012" s="7"/>
    </row>
    <row r="2013" ht="12.75">
      <c r="S2013" s="7"/>
    </row>
    <row r="2014" ht="12.75">
      <c r="S2014" s="7"/>
    </row>
    <row r="2015" ht="12.75">
      <c r="S2015" s="7"/>
    </row>
    <row r="2016" ht="12.75">
      <c r="S2016" s="7"/>
    </row>
    <row r="2017" ht="12.75">
      <c r="S2017" s="7"/>
    </row>
    <row r="2018" ht="12.75">
      <c r="S2018" s="7"/>
    </row>
    <row r="2019" ht="12.75">
      <c r="S2019" s="7"/>
    </row>
    <row r="2020" ht="12.75">
      <c r="S2020" s="7"/>
    </row>
    <row r="2021" ht="12.75">
      <c r="S2021" s="7"/>
    </row>
    <row r="2022" ht="12.75">
      <c r="S2022" s="7"/>
    </row>
    <row r="2023" ht="12.75">
      <c r="S2023" s="7"/>
    </row>
    <row r="2024" ht="12.75">
      <c r="S2024" s="7"/>
    </row>
    <row r="2025" ht="12.75">
      <c r="S2025" s="7"/>
    </row>
    <row r="2026" ht="12.75">
      <c r="S2026" s="7"/>
    </row>
    <row r="2027" ht="12.75">
      <c r="S2027" s="7"/>
    </row>
    <row r="2028" ht="12.75">
      <c r="S2028" s="7"/>
    </row>
    <row r="2029" ht="12.75">
      <c r="S2029" s="7"/>
    </row>
    <row r="2030" ht="12.75">
      <c r="S2030" s="7"/>
    </row>
    <row r="2031" ht="12.75">
      <c r="S2031" s="7"/>
    </row>
    <row r="2032" ht="12.75">
      <c r="S2032" s="7"/>
    </row>
    <row r="2033" ht="12.75">
      <c r="S2033" s="7"/>
    </row>
    <row r="2034" ht="12.75">
      <c r="S2034" s="7"/>
    </row>
    <row r="2035" ht="12.75">
      <c r="S2035" s="7"/>
    </row>
    <row r="2036" ht="12.75">
      <c r="S2036" s="7"/>
    </row>
    <row r="2037" ht="12.75">
      <c r="S2037" s="7"/>
    </row>
    <row r="2038" ht="12.75">
      <c r="S2038" s="7"/>
    </row>
    <row r="2039" ht="12.75">
      <c r="S2039" s="7"/>
    </row>
    <row r="2040" ht="12.75">
      <c r="S2040" s="7"/>
    </row>
    <row r="2041" ht="12.75">
      <c r="S2041" s="7"/>
    </row>
    <row r="2042" ht="12.75">
      <c r="S2042" s="7"/>
    </row>
    <row r="2043" ht="12.75">
      <c r="S2043" s="7"/>
    </row>
    <row r="2044" ht="12.75">
      <c r="S2044" s="7"/>
    </row>
    <row r="2045" ht="12.75">
      <c r="S2045" s="7"/>
    </row>
    <row r="2046" ht="12.75">
      <c r="S2046" s="7"/>
    </row>
    <row r="2047" ht="12.75">
      <c r="S2047" s="7"/>
    </row>
    <row r="2048" ht="12.75">
      <c r="S2048" s="7"/>
    </row>
    <row r="2049" ht="12.75">
      <c r="S2049" s="7"/>
    </row>
    <row r="2050" ht="12.75">
      <c r="S2050" s="7"/>
    </row>
    <row r="2051" ht="12.75">
      <c r="S2051" s="7"/>
    </row>
    <row r="2052" ht="12.75">
      <c r="S2052" s="7"/>
    </row>
    <row r="2053" ht="12.75">
      <c r="S2053" s="7"/>
    </row>
    <row r="2054" ht="12.75">
      <c r="S2054" s="7"/>
    </row>
    <row r="2055" ht="12.75">
      <c r="S2055" s="7"/>
    </row>
    <row r="2056" ht="12.75">
      <c r="S2056" s="7"/>
    </row>
    <row r="2057" ht="12.75">
      <c r="S2057" s="7"/>
    </row>
    <row r="2058" ht="12.75">
      <c r="S2058" s="7"/>
    </row>
    <row r="2059" ht="12.75">
      <c r="S2059" s="7"/>
    </row>
    <row r="2060" ht="12.75">
      <c r="S2060" s="7"/>
    </row>
    <row r="2061" ht="12.75">
      <c r="S2061" s="7"/>
    </row>
    <row r="2062" ht="12.75">
      <c r="S2062" s="7"/>
    </row>
    <row r="2063" ht="12.75">
      <c r="S2063" s="7"/>
    </row>
    <row r="2064" ht="12.75">
      <c r="S2064" s="7"/>
    </row>
    <row r="2065" ht="12.75">
      <c r="S2065" s="7"/>
    </row>
    <row r="2066" ht="12.75">
      <c r="S2066" s="7"/>
    </row>
    <row r="2067" ht="12.75">
      <c r="S2067" s="7"/>
    </row>
    <row r="2068" ht="12.75">
      <c r="S2068" s="7"/>
    </row>
    <row r="2069" ht="12.75">
      <c r="S2069" s="7"/>
    </row>
    <row r="2070" ht="12.75">
      <c r="S2070" s="7"/>
    </row>
    <row r="2071" ht="12.75">
      <c r="S2071" s="7"/>
    </row>
    <row r="2072" ht="12.75">
      <c r="S2072" s="7"/>
    </row>
    <row r="2073" ht="12.75">
      <c r="S2073" s="7"/>
    </row>
    <row r="2074" ht="12.75">
      <c r="S2074" s="7"/>
    </row>
    <row r="2075" ht="12.75">
      <c r="S2075" s="7"/>
    </row>
    <row r="2076" ht="12.75">
      <c r="S2076" s="7"/>
    </row>
    <row r="2077" ht="12.75">
      <c r="S2077" s="7"/>
    </row>
    <row r="2078" ht="12.75">
      <c r="S2078" s="7"/>
    </row>
    <row r="2079" ht="12.75">
      <c r="S2079" s="7"/>
    </row>
    <row r="2080" ht="12.75">
      <c r="S2080" s="7"/>
    </row>
    <row r="2081" ht="12.75">
      <c r="S2081" s="7"/>
    </row>
    <row r="2082" ht="12.75">
      <c r="S2082" s="7"/>
    </row>
    <row r="2083" ht="12.75">
      <c r="S2083" s="7"/>
    </row>
    <row r="2084" ht="12.75">
      <c r="S2084" s="7"/>
    </row>
    <row r="2085" ht="12.75">
      <c r="S2085" s="7"/>
    </row>
    <row r="2086" ht="12.75">
      <c r="S2086" s="7"/>
    </row>
    <row r="2087" ht="12.75">
      <c r="S2087" s="7"/>
    </row>
    <row r="2088" ht="12.75">
      <c r="S2088" s="7"/>
    </row>
    <row r="2089" ht="12.75">
      <c r="S2089" s="7"/>
    </row>
    <row r="2090" ht="12.75">
      <c r="S2090" s="7"/>
    </row>
    <row r="2091" ht="12.75">
      <c r="S2091" s="7"/>
    </row>
    <row r="2092" ht="12.75">
      <c r="S2092" s="7"/>
    </row>
    <row r="2093" ht="12.75">
      <c r="S2093" s="7"/>
    </row>
    <row r="2094" ht="12.75">
      <c r="S2094" s="7"/>
    </row>
    <row r="2095" ht="12.75">
      <c r="S2095" s="7"/>
    </row>
    <row r="2096" ht="12.75">
      <c r="S2096" s="7"/>
    </row>
    <row r="2097" ht="12.75">
      <c r="S2097" s="7"/>
    </row>
    <row r="2098" ht="12.75">
      <c r="S2098" s="7"/>
    </row>
    <row r="2099" ht="12.75">
      <c r="S2099" s="7"/>
    </row>
    <row r="2100" ht="12.75">
      <c r="S2100" s="7"/>
    </row>
    <row r="2101" ht="12.75">
      <c r="S2101" s="7"/>
    </row>
    <row r="2102" ht="12.75">
      <c r="S2102" s="7"/>
    </row>
    <row r="2103" ht="12.75">
      <c r="S2103" s="7"/>
    </row>
    <row r="2104" ht="12.75">
      <c r="S2104" s="7"/>
    </row>
    <row r="2105" ht="12.75">
      <c r="S2105" s="7"/>
    </row>
    <row r="2106" ht="12.75">
      <c r="S2106" s="7"/>
    </row>
    <row r="2107" ht="12.75">
      <c r="S2107" s="7"/>
    </row>
    <row r="2108" ht="12.75">
      <c r="S2108" s="7"/>
    </row>
    <row r="2109" ht="12.75">
      <c r="S2109" s="7"/>
    </row>
    <row r="2110" ht="12.75">
      <c r="S2110" s="7"/>
    </row>
    <row r="2111" ht="12.75">
      <c r="S2111" s="7"/>
    </row>
    <row r="2112" ht="12.75">
      <c r="S2112" s="7"/>
    </row>
    <row r="2113" ht="12.75">
      <c r="S2113" s="7"/>
    </row>
    <row r="2114" ht="12.75">
      <c r="S2114" s="7"/>
    </row>
    <row r="2115" ht="12.75">
      <c r="S2115" s="7"/>
    </row>
    <row r="2116" ht="12.75">
      <c r="S2116" s="7"/>
    </row>
    <row r="2117" ht="12.75">
      <c r="S2117" s="7"/>
    </row>
    <row r="2118" ht="12.75">
      <c r="S2118" s="7"/>
    </row>
    <row r="2119" ht="12.75">
      <c r="S2119" s="7"/>
    </row>
    <row r="2120" ht="12.75">
      <c r="S2120" s="7"/>
    </row>
    <row r="2121" ht="12.75">
      <c r="S2121" s="7"/>
    </row>
    <row r="2122" ht="12.75">
      <c r="S2122" s="7"/>
    </row>
    <row r="2123" ht="12.75">
      <c r="S2123" s="7"/>
    </row>
    <row r="2124" ht="12.75">
      <c r="S2124" s="7"/>
    </row>
    <row r="2125" ht="12.75">
      <c r="S2125" s="7"/>
    </row>
    <row r="2126" ht="12.75">
      <c r="S2126" s="7"/>
    </row>
    <row r="2127" ht="12.75">
      <c r="S2127" s="7"/>
    </row>
    <row r="2128" ht="12.75">
      <c r="S2128" s="7"/>
    </row>
    <row r="2129" ht="12.75">
      <c r="S2129" s="7"/>
    </row>
    <row r="2130" ht="12.75">
      <c r="S2130" s="7"/>
    </row>
    <row r="2131" ht="12.75">
      <c r="S2131" s="7"/>
    </row>
    <row r="2132" ht="12.75">
      <c r="S2132" s="7"/>
    </row>
    <row r="2133" ht="12.75">
      <c r="S2133" s="7"/>
    </row>
    <row r="2134" ht="12.75">
      <c r="S2134" s="7"/>
    </row>
    <row r="2135" ht="12.75">
      <c r="S2135" s="7"/>
    </row>
    <row r="2136" ht="12.75">
      <c r="S2136" s="7"/>
    </row>
    <row r="2137" ht="12.75">
      <c r="S2137" s="7"/>
    </row>
    <row r="2138" ht="12.75">
      <c r="S2138" s="7"/>
    </row>
    <row r="2139" ht="12.75">
      <c r="S2139" s="7"/>
    </row>
    <row r="2140" ht="12.75">
      <c r="S2140" s="7"/>
    </row>
    <row r="2141" ht="12.75">
      <c r="S2141" s="7"/>
    </row>
    <row r="2142" ht="12.75">
      <c r="S2142" s="7"/>
    </row>
    <row r="2143" ht="12.75">
      <c r="S2143" s="7"/>
    </row>
    <row r="2144" ht="12.75">
      <c r="S2144" s="7"/>
    </row>
    <row r="2145" ht="12.75">
      <c r="S2145" s="7"/>
    </row>
    <row r="2146" ht="12.75">
      <c r="S2146" s="7"/>
    </row>
    <row r="2147" ht="12.75">
      <c r="S2147" s="7"/>
    </row>
    <row r="2148" ht="12.75">
      <c r="S2148" s="7"/>
    </row>
    <row r="2149" ht="12.75">
      <c r="S2149" s="7"/>
    </row>
    <row r="2150" ht="12.75">
      <c r="S2150" s="7"/>
    </row>
    <row r="2151" ht="12.75">
      <c r="S2151" s="7"/>
    </row>
    <row r="2152" ht="12.75">
      <c r="S2152" s="7"/>
    </row>
    <row r="2153" ht="12.75">
      <c r="S2153" s="7"/>
    </row>
    <row r="2154" ht="12.75">
      <c r="S2154" s="7"/>
    </row>
    <row r="2155" ht="12.75">
      <c r="S2155" s="7"/>
    </row>
    <row r="2156" ht="12.75">
      <c r="S2156" s="7"/>
    </row>
    <row r="2157" ht="12.75">
      <c r="S2157" s="7"/>
    </row>
    <row r="2158" ht="12.75">
      <c r="S2158" s="7"/>
    </row>
    <row r="2159" ht="12.75">
      <c r="S2159" s="7"/>
    </row>
    <row r="2160" ht="12.75">
      <c r="S2160" s="7"/>
    </row>
    <row r="2161" ht="12.75">
      <c r="S2161" s="7"/>
    </row>
    <row r="2162" ht="12.75">
      <c r="S2162" s="7"/>
    </row>
    <row r="2163" ht="12.75">
      <c r="S2163" s="7"/>
    </row>
    <row r="2164" ht="12.75">
      <c r="S2164" s="7"/>
    </row>
    <row r="2165" ht="12.75">
      <c r="S2165" s="7"/>
    </row>
    <row r="2166" ht="12.75">
      <c r="S2166" s="7"/>
    </row>
    <row r="2167" ht="12.75">
      <c r="S2167" s="7"/>
    </row>
    <row r="2168" ht="12.75">
      <c r="S2168" s="7"/>
    </row>
    <row r="2169" ht="12.75">
      <c r="S2169" s="7"/>
    </row>
    <row r="2170" ht="12.75">
      <c r="S2170" s="7"/>
    </row>
    <row r="2171" ht="12.75">
      <c r="S2171" s="7"/>
    </row>
    <row r="2172" ht="12.75">
      <c r="S2172" s="7"/>
    </row>
    <row r="2173" ht="12.75">
      <c r="S2173" s="7"/>
    </row>
    <row r="2174" ht="12.75">
      <c r="S2174" s="7"/>
    </row>
    <row r="2175" ht="12.75">
      <c r="S2175" s="7"/>
    </row>
    <row r="2176" ht="12.75">
      <c r="S2176" s="7"/>
    </row>
    <row r="2177" ht="12.75">
      <c r="S2177" s="7"/>
    </row>
    <row r="2178" ht="12.75">
      <c r="S2178" s="7"/>
    </row>
    <row r="2179" ht="12.75">
      <c r="S2179" s="7"/>
    </row>
    <row r="2180" ht="12.75">
      <c r="S2180" s="7"/>
    </row>
    <row r="2181" ht="12.75">
      <c r="S2181" s="7"/>
    </row>
    <row r="2182" ht="12.75">
      <c r="S2182" s="7"/>
    </row>
    <row r="2183" ht="12.75">
      <c r="S2183" s="7"/>
    </row>
    <row r="2184" ht="12.75">
      <c r="S2184" s="7"/>
    </row>
    <row r="2185" ht="12.75">
      <c r="S2185" s="7"/>
    </row>
    <row r="2186" ht="12.75">
      <c r="S2186" s="7"/>
    </row>
    <row r="2187" ht="12.75">
      <c r="S2187" s="7"/>
    </row>
    <row r="2188" ht="12.75">
      <c r="S2188" s="7"/>
    </row>
    <row r="2189" ht="12.75">
      <c r="S2189" s="7"/>
    </row>
    <row r="2190" ht="12.75">
      <c r="S2190" s="7"/>
    </row>
    <row r="2191" ht="12.75">
      <c r="S2191" s="7"/>
    </row>
    <row r="2192" ht="12.75">
      <c r="S2192" s="7"/>
    </row>
    <row r="2193" ht="12.75">
      <c r="S2193" s="7"/>
    </row>
    <row r="2194" ht="12.75">
      <c r="S2194" s="7"/>
    </row>
    <row r="2195" ht="12.75">
      <c r="S2195" s="7"/>
    </row>
    <row r="2196" ht="12.75">
      <c r="S2196" s="7"/>
    </row>
    <row r="2197" ht="12.75">
      <c r="S2197" s="7"/>
    </row>
    <row r="2198" ht="12.75">
      <c r="S2198" s="7"/>
    </row>
    <row r="2199" ht="12.75">
      <c r="S2199" s="7"/>
    </row>
    <row r="2200" ht="12.75">
      <c r="S2200" s="7"/>
    </row>
    <row r="2201" ht="12.75">
      <c r="S2201" s="7"/>
    </row>
    <row r="2202" ht="12.75">
      <c r="S2202" s="7"/>
    </row>
    <row r="2203" ht="12.75">
      <c r="S2203" s="7"/>
    </row>
    <row r="2204" ht="12.75">
      <c r="S2204" s="7"/>
    </row>
    <row r="2205" ht="12.75">
      <c r="S2205" s="7"/>
    </row>
    <row r="2206" ht="12.75">
      <c r="S2206" s="7"/>
    </row>
    <row r="2207" ht="12.75">
      <c r="S2207" s="7"/>
    </row>
    <row r="2208" ht="12.75">
      <c r="S2208" s="7"/>
    </row>
    <row r="2209" ht="12.75">
      <c r="S2209" s="7"/>
    </row>
    <row r="2210" ht="12.75">
      <c r="S2210" s="7"/>
    </row>
    <row r="2211" ht="12.75">
      <c r="S2211" s="7"/>
    </row>
    <row r="2212" ht="12.75">
      <c r="S2212" s="7"/>
    </row>
    <row r="2213" ht="12.75">
      <c r="S2213" s="7"/>
    </row>
    <row r="2214" ht="12.75">
      <c r="S2214" s="7"/>
    </row>
    <row r="2215" ht="12.75">
      <c r="S2215" s="7"/>
    </row>
    <row r="2216" ht="12.75">
      <c r="S2216" s="7"/>
    </row>
    <row r="2217" ht="12.75">
      <c r="S2217" s="7"/>
    </row>
    <row r="2218" ht="12.75">
      <c r="S2218" s="7"/>
    </row>
    <row r="2219" ht="12.75">
      <c r="S2219" s="7"/>
    </row>
    <row r="2220" ht="12.75">
      <c r="S2220" s="7"/>
    </row>
    <row r="2221" ht="12.75">
      <c r="S2221" s="7"/>
    </row>
    <row r="2222" ht="12.75">
      <c r="S2222" s="7"/>
    </row>
    <row r="2223" ht="12.75">
      <c r="S2223" s="7"/>
    </row>
    <row r="2224" ht="12.75">
      <c r="S2224" s="7"/>
    </row>
    <row r="2225" ht="12.75">
      <c r="S2225" s="7"/>
    </row>
    <row r="2226" ht="12.75">
      <c r="S2226" s="7"/>
    </row>
    <row r="2227" ht="12.75">
      <c r="S2227" s="7"/>
    </row>
    <row r="2228" ht="12.75">
      <c r="S2228" s="7"/>
    </row>
    <row r="2229" ht="12.75">
      <c r="S2229" s="7"/>
    </row>
    <row r="2230" ht="12.75">
      <c r="S2230" s="7"/>
    </row>
    <row r="2231" ht="12.75">
      <c r="S2231" s="7"/>
    </row>
    <row r="2232" ht="12.75">
      <c r="S2232" s="7"/>
    </row>
    <row r="2233" ht="12.75">
      <c r="S2233" s="7"/>
    </row>
    <row r="2234" ht="12.75">
      <c r="S2234" s="7"/>
    </row>
    <row r="2235" ht="12.75">
      <c r="S2235" s="7"/>
    </row>
    <row r="2236" ht="12.75">
      <c r="S2236" s="7"/>
    </row>
    <row r="2237" ht="12.75">
      <c r="S2237" s="7"/>
    </row>
    <row r="2238" ht="12.75">
      <c r="S2238" s="7"/>
    </row>
    <row r="2239" ht="12.75">
      <c r="S2239" s="7"/>
    </row>
    <row r="2240" ht="12.75">
      <c r="S2240" s="7"/>
    </row>
    <row r="2241" ht="12.75">
      <c r="S2241" s="7"/>
    </row>
    <row r="2242" ht="12.75">
      <c r="S2242" s="7"/>
    </row>
    <row r="2243" ht="12.75">
      <c r="S2243" s="7"/>
    </row>
    <row r="2244" ht="12.75">
      <c r="S2244" s="7"/>
    </row>
    <row r="2245" ht="12.75">
      <c r="S2245" s="7"/>
    </row>
    <row r="2246" ht="12.75">
      <c r="S2246" s="7"/>
    </row>
    <row r="2247" ht="12.75">
      <c r="S2247" s="7"/>
    </row>
    <row r="2248" ht="12.75">
      <c r="S2248" s="7"/>
    </row>
    <row r="2249" ht="12.75">
      <c r="S2249" s="7"/>
    </row>
    <row r="2250" ht="12.75">
      <c r="S2250" s="7"/>
    </row>
    <row r="2251" ht="12.75">
      <c r="S2251" s="7"/>
    </row>
    <row r="2252" ht="12.75">
      <c r="S2252" s="7"/>
    </row>
    <row r="2253" ht="12.75">
      <c r="S2253" s="7"/>
    </row>
    <row r="2254" ht="12.75">
      <c r="S2254" s="7"/>
    </row>
    <row r="2255" ht="12.75">
      <c r="S2255" s="7"/>
    </row>
    <row r="2256" ht="12.75">
      <c r="S2256" s="7"/>
    </row>
    <row r="2257" ht="12.75">
      <c r="S2257" s="7"/>
    </row>
    <row r="2258" ht="12.75">
      <c r="S2258" s="7"/>
    </row>
    <row r="2259" ht="12.75">
      <c r="S2259" s="7"/>
    </row>
    <row r="2260" ht="12.75">
      <c r="S2260" s="7"/>
    </row>
    <row r="2261" ht="12.75">
      <c r="S2261" s="7"/>
    </row>
    <row r="2262" ht="12.75">
      <c r="S2262" s="7"/>
    </row>
    <row r="2263" ht="12.75">
      <c r="S2263" s="7"/>
    </row>
    <row r="2264" ht="12.75">
      <c r="S2264" s="7"/>
    </row>
    <row r="2265" ht="12.75">
      <c r="S2265" s="7"/>
    </row>
    <row r="2266" ht="12.75">
      <c r="S2266" s="7"/>
    </row>
    <row r="2267" ht="12.75">
      <c r="S2267" s="7"/>
    </row>
    <row r="2268" ht="12.75">
      <c r="S2268" s="7"/>
    </row>
    <row r="2269" ht="12.75">
      <c r="S2269" s="7"/>
    </row>
    <row r="2270" ht="12.75">
      <c r="S2270" s="7"/>
    </row>
    <row r="2271" ht="12.75">
      <c r="S2271" s="7"/>
    </row>
    <row r="2272" ht="12.75">
      <c r="S2272" s="7"/>
    </row>
    <row r="2273" ht="12.75">
      <c r="S2273" s="7"/>
    </row>
    <row r="2274" ht="12.75">
      <c r="S2274" s="7"/>
    </row>
    <row r="2275" ht="12.75">
      <c r="S2275" s="7"/>
    </row>
    <row r="2276" ht="12.75">
      <c r="S2276" s="7"/>
    </row>
    <row r="2277" ht="12.75">
      <c r="S2277" s="7"/>
    </row>
    <row r="2278" ht="12.75">
      <c r="S2278" s="7"/>
    </row>
    <row r="2279" ht="12.75">
      <c r="S2279" s="7"/>
    </row>
    <row r="2280" ht="12.75">
      <c r="S2280" s="7"/>
    </row>
    <row r="2281" ht="12.75">
      <c r="S2281" s="7"/>
    </row>
    <row r="2282" ht="12.75">
      <c r="S2282" s="7"/>
    </row>
    <row r="2283" ht="12.75">
      <c r="S2283" s="7"/>
    </row>
    <row r="2284" ht="12.75">
      <c r="S2284" s="7"/>
    </row>
    <row r="2285" ht="12.75">
      <c r="S2285" s="7"/>
    </row>
    <row r="2286" ht="12.75">
      <c r="S2286" s="7"/>
    </row>
    <row r="2287" ht="12.75">
      <c r="S2287" s="7"/>
    </row>
    <row r="2288" ht="12.75">
      <c r="S2288" s="7"/>
    </row>
    <row r="2289" ht="12.75">
      <c r="S2289" s="7"/>
    </row>
    <row r="2290" ht="12.75">
      <c r="S2290" s="7"/>
    </row>
    <row r="2291" ht="12.75">
      <c r="S2291" s="7"/>
    </row>
    <row r="2292" ht="12.75">
      <c r="S2292" s="7"/>
    </row>
    <row r="2293" ht="12.75">
      <c r="S2293" s="7"/>
    </row>
    <row r="2294" ht="12.75">
      <c r="S2294" s="7"/>
    </row>
    <row r="2295" ht="12.75">
      <c r="S2295" s="7"/>
    </row>
    <row r="2296" ht="12.75">
      <c r="S2296" s="7"/>
    </row>
    <row r="2297" ht="12.75">
      <c r="S2297" s="7"/>
    </row>
    <row r="2298" ht="12.75">
      <c r="S2298" s="7"/>
    </row>
    <row r="2299" ht="12.75">
      <c r="S2299" s="7"/>
    </row>
    <row r="2300" ht="12.75">
      <c r="S2300" s="7"/>
    </row>
    <row r="2301" ht="12.75">
      <c r="S2301" s="7"/>
    </row>
    <row r="2302" ht="12.75">
      <c r="S2302" s="7"/>
    </row>
    <row r="2303" ht="12.75">
      <c r="S2303" s="7"/>
    </row>
    <row r="2304" ht="12.75">
      <c r="S2304" s="7"/>
    </row>
    <row r="2305" ht="12.75">
      <c r="S2305" s="7"/>
    </row>
    <row r="2306" ht="12.75">
      <c r="S2306" s="7"/>
    </row>
    <row r="2307" ht="12.75">
      <c r="S2307" s="7"/>
    </row>
    <row r="2308" ht="12.75">
      <c r="S2308" s="7"/>
    </row>
    <row r="2309" ht="12.75">
      <c r="S2309" s="7"/>
    </row>
    <row r="2310" ht="12.75">
      <c r="S2310" s="7"/>
    </row>
    <row r="2311" ht="12.75">
      <c r="S2311" s="7"/>
    </row>
    <row r="2312" ht="12.75">
      <c r="S2312" s="7"/>
    </row>
    <row r="2313" ht="12.75">
      <c r="S2313" s="7"/>
    </row>
    <row r="2314" ht="12.75">
      <c r="S2314" s="7"/>
    </row>
    <row r="2315" ht="12.75">
      <c r="S2315" s="7"/>
    </row>
    <row r="2316" ht="12.75">
      <c r="S2316" s="7"/>
    </row>
    <row r="2317" ht="12.75">
      <c r="S2317" s="7"/>
    </row>
    <row r="2318" ht="12.75">
      <c r="S2318" s="7"/>
    </row>
    <row r="2319" ht="12.75">
      <c r="S2319" s="7"/>
    </row>
    <row r="2320" ht="12.75">
      <c r="S2320" s="7"/>
    </row>
    <row r="2321" ht="12.75">
      <c r="S2321" s="7"/>
    </row>
    <row r="2322" ht="12.75">
      <c r="S2322" s="7"/>
    </row>
    <row r="2323" ht="12.75">
      <c r="S2323" s="7"/>
    </row>
    <row r="2324" ht="12.75">
      <c r="S2324" s="7"/>
    </row>
    <row r="2325" ht="12.75">
      <c r="S2325" s="7"/>
    </row>
    <row r="2326" ht="12.75">
      <c r="S2326" s="7"/>
    </row>
    <row r="2327" ht="12.75">
      <c r="S2327" s="7"/>
    </row>
    <row r="2328" ht="12.75">
      <c r="S2328" s="7"/>
    </row>
    <row r="2329" ht="12.75">
      <c r="S2329" s="7"/>
    </row>
    <row r="2330" ht="12.75">
      <c r="S2330" s="7"/>
    </row>
    <row r="2331" ht="12.75">
      <c r="S2331" s="7"/>
    </row>
    <row r="2332" ht="12.75">
      <c r="S2332" s="7"/>
    </row>
    <row r="2333" ht="12.75">
      <c r="S2333" s="7"/>
    </row>
    <row r="2334" ht="12.75">
      <c r="S2334" s="7"/>
    </row>
    <row r="2335" ht="12.75">
      <c r="S2335" s="7"/>
    </row>
    <row r="2336" ht="12.75">
      <c r="S2336" s="7"/>
    </row>
    <row r="2337" ht="12.75">
      <c r="S2337" s="7"/>
    </row>
    <row r="2338" ht="12.75">
      <c r="S2338" s="7"/>
    </row>
    <row r="2339" ht="12.75">
      <c r="S2339" s="7"/>
    </row>
    <row r="2340" ht="12.75">
      <c r="S2340" s="7"/>
    </row>
    <row r="2341" ht="12.75">
      <c r="S2341" s="7"/>
    </row>
    <row r="2342" ht="12.75">
      <c r="S2342" s="7"/>
    </row>
    <row r="2343" ht="12.75">
      <c r="S2343" s="7"/>
    </row>
    <row r="2344" ht="12.75">
      <c r="S2344" s="7"/>
    </row>
    <row r="2345" ht="12.75">
      <c r="S2345" s="7"/>
    </row>
    <row r="2346" ht="12.75">
      <c r="S2346" s="7"/>
    </row>
    <row r="2347" ht="12.75">
      <c r="S2347" s="7"/>
    </row>
    <row r="2348" ht="12.75">
      <c r="S2348" s="7"/>
    </row>
    <row r="2349" ht="12.75">
      <c r="S2349" s="7"/>
    </row>
    <row r="2350" ht="12.75">
      <c r="S2350" s="7"/>
    </row>
    <row r="2351" ht="12.75">
      <c r="S2351" s="7"/>
    </row>
    <row r="2352" ht="12.75">
      <c r="S2352" s="7"/>
    </row>
    <row r="2353" ht="12.75">
      <c r="S2353" s="7"/>
    </row>
    <row r="2354" ht="12.75">
      <c r="S2354" s="7"/>
    </row>
    <row r="2355" ht="12.75">
      <c r="S2355" s="7"/>
    </row>
    <row r="2356" ht="12.75">
      <c r="S2356" s="7"/>
    </row>
    <row r="2357" ht="12.75">
      <c r="S2357" s="7"/>
    </row>
    <row r="2358" ht="12.75">
      <c r="S2358" s="7"/>
    </row>
    <row r="2359" ht="12.75">
      <c r="S2359" s="7"/>
    </row>
    <row r="2360" ht="12.75">
      <c r="S2360" s="7"/>
    </row>
    <row r="2361" ht="12.75">
      <c r="S2361" s="7"/>
    </row>
    <row r="2362" ht="12.75">
      <c r="S2362" s="7"/>
    </row>
    <row r="2363" ht="12.75">
      <c r="S2363" s="7"/>
    </row>
    <row r="2364" ht="12.75">
      <c r="S2364" s="7"/>
    </row>
    <row r="2365" ht="12.75">
      <c r="S2365" s="7"/>
    </row>
    <row r="2366" ht="12.75">
      <c r="S2366" s="7"/>
    </row>
    <row r="2367" ht="12.75">
      <c r="S2367" s="7"/>
    </row>
    <row r="2368" ht="12.75">
      <c r="S2368" s="7"/>
    </row>
    <row r="2369" ht="12.75">
      <c r="S2369" s="7"/>
    </row>
    <row r="2370" ht="12.75">
      <c r="S2370" s="7"/>
    </row>
    <row r="2371" ht="12.75">
      <c r="S2371" s="7"/>
    </row>
    <row r="2372" ht="12.75">
      <c r="S2372" s="7"/>
    </row>
    <row r="2373" ht="12.75">
      <c r="S2373" s="7"/>
    </row>
    <row r="2374" ht="12.75">
      <c r="S2374" s="7"/>
    </row>
    <row r="2375" ht="12.75">
      <c r="S2375" s="7"/>
    </row>
    <row r="2376" ht="12.75">
      <c r="S2376" s="7"/>
    </row>
    <row r="2377" ht="12.75">
      <c r="S2377" s="7"/>
    </row>
    <row r="2378" ht="12.75">
      <c r="S2378" s="7"/>
    </row>
    <row r="2379" ht="12.75">
      <c r="S2379" s="7"/>
    </row>
    <row r="2380" ht="12.75">
      <c r="S2380" s="7"/>
    </row>
    <row r="2381" ht="12.75">
      <c r="S2381" s="7"/>
    </row>
    <row r="2382" ht="12.75">
      <c r="S2382" s="7"/>
    </row>
    <row r="2383" ht="12.75">
      <c r="S2383" s="7"/>
    </row>
    <row r="2384" ht="12.75">
      <c r="S2384" s="7"/>
    </row>
    <row r="2385" ht="12.75">
      <c r="S2385" s="7"/>
    </row>
    <row r="2386" ht="12.75">
      <c r="S2386" s="7"/>
    </row>
    <row r="2387" ht="12.75">
      <c r="S2387" s="7"/>
    </row>
    <row r="2388" ht="12.75">
      <c r="S2388" s="7"/>
    </row>
    <row r="2389" ht="12.75">
      <c r="S2389" s="7"/>
    </row>
    <row r="2390" ht="12.75">
      <c r="S2390" s="7"/>
    </row>
    <row r="2391" ht="12.75">
      <c r="S2391" s="7"/>
    </row>
    <row r="2392" ht="12.75">
      <c r="S2392" s="7"/>
    </row>
    <row r="2393" ht="12.75">
      <c r="S2393" s="7"/>
    </row>
    <row r="2394" ht="12.75">
      <c r="S2394" s="7"/>
    </row>
    <row r="2395" ht="12.75">
      <c r="S2395" s="7"/>
    </row>
    <row r="2396" ht="12.75">
      <c r="S2396" s="7"/>
    </row>
    <row r="2397" ht="12.75">
      <c r="S2397" s="7"/>
    </row>
    <row r="2398" ht="12.75">
      <c r="S2398" s="7"/>
    </row>
    <row r="2399" ht="12.75">
      <c r="S2399" s="7"/>
    </row>
    <row r="2400" ht="12.75">
      <c r="S2400" s="7"/>
    </row>
    <row r="2401" ht="12.75">
      <c r="S2401" s="7"/>
    </row>
    <row r="2402" ht="12.75">
      <c r="S2402" s="7"/>
    </row>
    <row r="2403" ht="12.75">
      <c r="S2403" s="7"/>
    </row>
    <row r="2404" ht="12.75">
      <c r="S2404" s="7"/>
    </row>
    <row r="2405" ht="12.75">
      <c r="S2405" s="7"/>
    </row>
    <row r="2406" ht="12.75">
      <c r="S2406" s="7"/>
    </row>
    <row r="2407" ht="12.75">
      <c r="S2407" s="7"/>
    </row>
    <row r="2408" ht="12.75">
      <c r="S2408" s="7"/>
    </row>
    <row r="2409" ht="12.75">
      <c r="S2409" s="7"/>
    </row>
    <row r="2410" ht="12.75">
      <c r="S2410" s="7"/>
    </row>
    <row r="2411" ht="12.75">
      <c r="S2411" s="7"/>
    </row>
    <row r="2412" ht="12.75">
      <c r="S2412" s="7"/>
    </row>
    <row r="2413" ht="12.75">
      <c r="S2413" s="7"/>
    </row>
    <row r="2414" ht="12.75">
      <c r="S2414" s="7"/>
    </row>
    <row r="2415" ht="12.75">
      <c r="S2415" s="7"/>
    </row>
    <row r="2416" ht="12.75">
      <c r="S2416" s="7"/>
    </row>
    <row r="2417" ht="12.75">
      <c r="S2417" s="7"/>
    </row>
    <row r="2418" ht="12.75">
      <c r="S2418" s="7"/>
    </row>
    <row r="2419" ht="12.75">
      <c r="S2419" s="7"/>
    </row>
    <row r="2420" ht="12.75">
      <c r="S2420" s="7"/>
    </row>
    <row r="2421" ht="12.75">
      <c r="S2421" s="7"/>
    </row>
    <row r="2422" ht="12.75">
      <c r="S2422" s="7"/>
    </row>
    <row r="2423" ht="12.75">
      <c r="S2423" s="7"/>
    </row>
    <row r="2424" ht="12.75">
      <c r="S2424" s="7"/>
    </row>
    <row r="2425" ht="12.75">
      <c r="S2425" s="7"/>
    </row>
    <row r="2426" ht="12.75">
      <c r="S2426" s="7"/>
    </row>
    <row r="2427" ht="12.75">
      <c r="S2427" s="7"/>
    </row>
    <row r="2428" ht="12.75">
      <c r="S2428" s="7"/>
    </row>
    <row r="2429" ht="12.75">
      <c r="S2429" s="7"/>
    </row>
    <row r="2430" ht="12.75">
      <c r="S2430" s="7"/>
    </row>
    <row r="2431" ht="12.75">
      <c r="S2431" s="7"/>
    </row>
    <row r="2432" ht="12.75">
      <c r="S2432" s="7"/>
    </row>
    <row r="2433" ht="12.75">
      <c r="S2433" s="7"/>
    </row>
    <row r="2434" ht="12.75">
      <c r="S2434" s="7"/>
    </row>
    <row r="2435" ht="12.75">
      <c r="S2435" s="7"/>
    </row>
    <row r="2436" ht="12.75">
      <c r="S2436" s="7"/>
    </row>
    <row r="2437" ht="12.75">
      <c r="S2437" s="7"/>
    </row>
    <row r="2438" ht="12.75">
      <c r="S2438" s="7"/>
    </row>
    <row r="2439" ht="12.75">
      <c r="S2439" s="7"/>
    </row>
    <row r="2440" ht="12.75">
      <c r="S2440" s="7"/>
    </row>
    <row r="2441" ht="12.75">
      <c r="S2441" s="7"/>
    </row>
    <row r="2442" ht="12.75">
      <c r="S2442" s="7"/>
    </row>
    <row r="2443" ht="12.75">
      <c r="S2443" s="7"/>
    </row>
    <row r="2444" ht="12.75">
      <c r="S2444" s="7"/>
    </row>
    <row r="2445" ht="12.75">
      <c r="S2445" s="7"/>
    </row>
    <row r="2446" ht="12.75">
      <c r="S2446" s="7"/>
    </row>
    <row r="2447" ht="12.75">
      <c r="S2447" s="7"/>
    </row>
    <row r="2448" ht="12.75">
      <c r="S2448" s="7"/>
    </row>
    <row r="2449" ht="12.75">
      <c r="S2449" s="7"/>
    </row>
    <row r="2450" ht="12.75">
      <c r="S2450" s="7"/>
    </row>
    <row r="2451" ht="12.75">
      <c r="S2451" s="7"/>
    </row>
    <row r="2452" ht="12.75">
      <c r="S2452" s="7"/>
    </row>
    <row r="2453" ht="12.75">
      <c r="S2453" s="7"/>
    </row>
    <row r="2454" ht="12.75">
      <c r="S2454" s="7"/>
    </row>
    <row r="2455" ht="12.75">
      <c r="S2455" s="7"/>
    </row>
    <row r="2456" ht="12.75">
      <c r="S2456" s="7"/>
    </row>
    <row r="2457" ht="12.75">
      <c r="S2457" s="7"/>
    </row>
    <row r="2458" ht="12.75">
      <c r="S2458" s="7"/>
    </row>
    <row r="2459" ht="12.75">
      <c r="S2459" s="7"/>
    </row>
    <row r="2460" ht="12.75">
      <c r="S2460" s="7"/>
    </row>
    <row r="2461" ht="12.75">
      <c r="S2461" s="7"/>
    </row>
    <row r="2462" ht="12.75">
      <c r="S2462" s="7"/>
    </row>
    <row r="2463" ht="12.75">
      <c r="S2463" s="7"/>
    </row>
    <row r="2464" ht="12.75">
      <c r="S2464" s="7"/>
    </row>
    <row r="2465" ht="12.75">
      <c r="S2465" s="7"/>
    </row>
    <row r="2466" ht="12.75">
      <c r="S2466" s="7"/>
    </row>
    <row r="2467" ht="12.75">
      <c r="S2467" s="7"/>
    </row>
    <row r="2468" ht="12.75">
      <c r="S2468" s="7"/>
    </row>
    <row r="2469" ht="12.75">
      <c r="S2469" s="7"/>
    </row>
    <row r="2470" ht="12.75">
      <c r="S2470" s="7"/>
    </row>
    <row r="2471" ht="12.75">
      <c r="S2471" s="7"/>
    </row>
    <row r="2472" ht="12.75">
      <c r="S2472" s="7"/>
    </row>
    <row r="2473" ht="12.75">
      <c r="S2473" s="7"/>
    </row>
    <row r="2474" ht="12.75">
      <c r="S2474" s="7"/>
    </row>
    <row r="2475" ht="12.75">
      <c r="S2475" s="7"/>
    </row>
    <row r="2476" ht="12.75">
      <c r="S2476" s="7"/>
    </row>
    <row r="2477" ht="12.75">
      <c r="S2477" s="7"/>
    </row>
    <row r="2478" ht="12.75">
      <c r="S2478" s="7"/>
    </row>
    <row r="2479" ht="12.75">
      <c r="S2479" s="7"/>
    </row>
    <row r="2480" ht="12.75">
      <c r="S2480" s="7"/>
    </row>
    <row r="2481" ht="12.75">
      <c r="S2481" s="7"/>
    </row>
    <row r="2482" ht="12.75">
      <c r="S2482" s="7"/>
    </row>
    <row r="2483" ht="12.75">
      <c r="S2483" s="7"/>
    </row>
    <row r="2484" ht="12.75">
      <c r="S2484" s="7"/>
    </row>
    <row r="2485" ht="12.75">
      <c r="S2485" s="7"/>
    </row>
    <row r="2486" ht="12.75">
      <c r="S2486" s="7"/>
    </row>
    <row r="2487" ht="12.75">
      <c r="S2487" s="7"/>
    </row>
    <row r="2488" ht="12.75">
      <c r="S2488" s="7"/>
    </row>
    <row r="2489" ht="12.75">
      <c r="S2489" s="7"/>
    </row>
    <row r="2490" ht="12.75">
      <c r="S2490" s="7"/>
    </row>
    <row r="2491" ht="12.75">
      <c r="S2491" s="7"/>
    </row>
    <row r="2492" ht="12.75">
      <c r="S2492" s="7"/>
    </row>
    <row r="2493" ht="12.75">
      <c r="S2493" s="7"/>
    </row>
    <row r="2494" ht="12.75">
      <c r="S2494" s="7"/>
    </row>
    <row r="2495" ht="12.75">
      <c r="S2495" s="7"/>
    </row>
    <row r="2496" ht="12.75">
      <c r="S2496" s="7"/>
    </row>
    <row r="2497" ht="12.75">
      <c r="S2497" s="7"/>
    </row>
    <row r="2498" ht="12.75">
      <c r="S2498" s="7"/>
    </row>
    <row r="2499" ht="12.75">
      <c r="S2499" s="7"/>
    </row>
    <row r="2500" ht="12.75">
      <c r="S2500" s="7"/>
    </row>
    <row r="2501" ht="12.75">
      <c r="S2501" s="7"/>
    </row>
    <row r="2502" ht="12.75">
      <c r="S2502" s="7"/>
    </row>
    <row r="2503" ht="12.75">
      <c r="S2503" s="7"/>
    </row>
    <row r="2504" ht="12.75">
      <c r="S2504" s="7"/>
    </row>
    <row r="2505" ht="12.75">
      <c r="S2505" s="7"/>
    </row>
    <row r="2506" ht="12.75">
      <c r="S2506" s="7"/>
    </row>
    <row r="2507" ht="12.75">
      <c r="S2507" s="7"/>
    </row>
    <row r="2508" ht="12.75">
      <c r="S2508" s="7"/>
    </row>
    <row r="2509" ht="12.75">
      <c r="S2509" s="7"/>
    </row>
    <row r="2510" ht="12.75">
      <c r="S2510" s="7"/>
    </row>
    <row r="2511" ht="12.75">
      <c r="S2511" s="7"/>
    </row>
    <row r="2512" ht="12.75">
      <c r="S2512" s="7"/>
    </row>
    <row r="2513" ht="12.75">
      <c r="S2513" s="7"/>
    </row>
    <row r="2514" ht="12.75">
      <c r="S2514" s="7"/>
    </row>
    <row r="2515" ht="12.75">
      <c r="S2515" s="7"/>
    </row>
    <row r="2516" ht="12.75">
      <c r="S2516" s="7"/>
    </row>
    <row r="2517" ht="12.75">
      <c r="S2517" s="7"/>
    </row>
    <row r="2518" ht="12.75">
      <c r="S2518" s="7"/>
    </row>
    <row r="2519" ht="12.75">
      <c r="S2519" s="7"/>
    </row>
    <row r="2520" ht="12.75">
      <c r="S2520" s="7"/>
    </row>
    <row r="2521" ht="12.75">
      <c r="S2521" s="7"/>
    </row>
    <row r="2522" ht="12.75">
      <c r="S2522" s="7"/>
    </row>
    <row r="2523" ht="12.75">
      <c r="S2523" s="7"/>
    </row>
    <row r="2524" ht="12.75">
      <c r="S2524" s="7"/>
    </row>
    <row r="2525" ht="12.75">
      <c r="S2525" s="7"/>
    </row>
    <row r="2526" ht="12.75">
      <c r="S2526" s="7"/>
    </row>
    <row r="2527" ht="12.75">
      <c r="S2527" s="7"/>
    </row>
    <row r="2528" ht="12.75">
      <c r="S2528" s="7"/>
    </row>
    <row r="2529" ht="12.75">
      <c r="S2529" s="7"/>
    </row>
    <row r="2530" ht="12.75">
      <c r="S2530" s="7"/>
    </row>
    <row r="2531" ht="12.75">
      <c r="S2531" s="7"/>
    </row>
    <row r="2532" ht="12.75">
      <c r="S2532" s="7"/>
    </row>
    <row r="2533" ht="12.75">
      <c r="S2533" s="7"/>
    </row>
    <row r="2534" ht="12.75">
      <c r="S2534" s="7"/>
    </row>
    <row r="2535" ht="12.75">
      <c r="S2535" s="7"/>
    </row>
    <row r="2536" ht="12.75">
      <c r="S2536" s="7"/>
    </row>
    <row r="2537" ht="12.75">
      <c r="S2537" s="7"/>
    </row>
    <row r="2538" ht="12.75">
      <c r="S2538" s="7"/>
    </row>
    <row r="2539" ht="12.75">
      <c r="S2539" s="7"/>
    </row>
    <row r="2540" ht="12.75">
      <c r="S2540" s="7"/>
    </row>
    <row r="2541" ht="12.75">
      <c r="S2541" s="7"/>
    </row>
    <row r="2542" ht="12.75">
      <c r="S2542" s="7"/>
    </row>
    <row r="2543" ht="12.75">
      <c r="S2543" s="7"/>
    </row>
    <row r="2544" ht="12.75">
      <c r="S2544" s="7"/>
    </row>
    <row r="2545" ht="12.75">
      <c r="S2545" s="7"/>
    </row>
    <row r="2546" ht="12.75">
      <c r="S2546" s="7"/>
    </row>
    <row r="2547" ht="12.75">
      <c r="S2547" s="7"/>
    </row>
    <row r="2548" ht="12.75">
      <c r="S2548" s="7"/>
    </row>
    <row r="2549" ht="12.75">
      <c r="S2549" s="7"/>
    </row>
    <row r="2550" ht="12.75">
      <c r="S2550" s="7"/>
    </row>
    <row r="2551" ht="12.75">
      <c r="S2551" s="7"/>
    </row>
    <row r="2552" ht="12.75">
      <c r="S2552" s="7"/>
    </row>
    <row r="2553" ht="12.75">
      <c r="S2553" s="7"/>
    </row>
    <row r="2554" ht="12.75">
      <c r="S2554" s="7"/>
    </row>
    <row r="2555" ht="12.75">
      <c r="S2555" s="7"/>
    </row>
    <row r="2556" ht="12.75">
      <c r="S2556" s="7"/>
    </row>
    <row r="2557" ht="12.75">
      <c r="S2557" s="7"/>
    </row>
    <row r="2558" ht="12.75">
      <c r="S2558" s="7"/>
    </row>
    <row r="2559" ht="12.75">
      <c r="S2559" s="7"/>
    </row>
    <row r="2560" ht="12.75">
      <c r="S2560" s="7"/>
    </row>
    <row r="2561" ht="12.75">
      <c r="S2561" s="7"/>
    </row>
    <row r="2562" ht="12.75">
      <c r="S2562" s="7"/>
    </row>
    <row r="2563" ht="12.75">
      <c r="S2563" s="7"/>
    </row>
    <row r="2564" ht="12.75">
      <c r="S2564" s="7"/>
    </row>
    <row r="2565" ht="12.75">
      <c r="S2565" s="7"/>
    </row>
    <row r="2566" ht="12.75">
      <c r="S2566" s="7"/>
    </row>
    <row r="2567" ht="12.75">
      <c r="S2567" s="7"/>
    </row>
    <row r="2568" ht="12.75">
      <c r="S2568" s="7"/>
    </row>
    <row r="2569" ht="12.75">
      <c r="S2569" s="7"/>
    </row>
    <row r="2570" ht="12.75">
      <c r="S2570" s="7"/>
    </row>
    <row r="2571" ht="12.75">
      <c r="S2571" s="7"/>
    </row>
    <row r="2572" ht="12.75">
      <c r="S2572" s="7"/>
    </row>
    <row r="2573" ht="12.75">
      <c r="S2573" s="7"/>
    </row>
    <row r="2574" ht="12.75">
      <c r="S2574" s="7"/>
    </row>
    <row r="2575" ht="12.75">
      <c r="S2575" s="7"/>
    </row>
    <row r="2576" ht="12.75">
      <c r="S2576" s="7"/>
    </row>
    <row r="2577" ht="12.75">
      <c r="S2577" s="7"/>
    </row>
    <row r="2578" ht="12.75">
      <c r="S2578" s="7"/>
    </row>
    <row r="2579" ht="12.75">
      <c r="S2579" s="7"/>
    </row>
    <row r="2580" ht="12.75">
      <c r="S2580" s="7"/>
    </row>
    <row r="2581" ht="12.75">
      <c r="S2581" s="7"/>
    </row>
    <row r="2582" ht="12.75">
      <c r="S2582" s="7"/>
    </row>
    <row r="2583" ht="12.75">
      <c r="S2583" s="7"/>
    </row>
    <row r="2584" ht="12.75">
      <c r="S2584" s="7"/>
    </row>
    <row r="2585" ht="12.75">
      <c r="S2585" s="7"/>
    </row>
    <row r="2586" ht="12.75">
      <c r="S2586" s="7"/>
    </row>
    <row r="2587" ht="12.75">
      <c r="S2587" s="7"/>
    </row>
    <row r="2588" ht="12.75">
      <c r="S2588" s="7"/>
    </row>
    <row r="2589" ht="12.75">
      <c r="S2589" s="7"/>
    </row>
    <row r="2590" ht="12.75">
      <c r="S2590" s="7"/>
    </row>
    <row r="2591" ht="12.75">
      <c r="S2591" s="7"/>
    </row>
    <row r="2592" ht="12.75">
      <c r="S2592" s="7"/>
    </row>
    <row r="2593" ht="12.75">
      <c r="S2593" s="7"/>
    </row>
    <row r="2594" ht="12.75">
      <c r="S2594" s="7"/>
    </row>
    <row r="2595" ht="12.75">
      <c r="S2595" s="7"/>
    </row>
    <row r="2596" ht="12.75">
      <c r="S2596" s="7"/>
    </row>
    <row r="2597" ht="12.75">
      <c r="S2597" s="7"/>
    </row>
    <row r="2598" ht="12.75">
      <c r="S2598" s="7"/>
    </row>
    <row r="2599" ht="12.75">
      <c r="S2599" s="7"/>
    </row>
    <row r="2600" ht="12.75">
      <c r="S2600" s="7"/>
    </row>
    <row r="2601" ht="12.75">
      <c r="S2601" s="7"/>
    </row>
    <row r="2602" ht="12.75">
      <c r="S2602" s="7"/>
    </row>
    <row r="2603" ht="12.75">
      <c r="S2603" s="7"/>
    </row>
    <row r="2604" ht="12.75">
      <c r="S2604" s="7"/>
    </row>
    <row r="2605" ht="12.75">
      <c r="S2605" s="7"/>
    </row>
    <row r="2606" ht="12.75">
      <c r="S2606" s="7"/>
    </row>
    <row r="2607" ht="12.75">
      <c r="S2607" s="7"/>
    </row>
    <row r="2608" ht="12.75">
      <c r="S2608" s="7"/>
    </row>
    <row r="2609" ht="12.75">
      <c r="S2609" s="7"/>
    </row>
    <row r="2610" ht="12.75">
      <c r="S2610" s="7"/>
    </row>
    <row r="2611" ht="12.75">
      <c r="S2611" s="7"/>
    </row>
    <row r="2612" ht="12.75">
      <c r="S2612" s="7"/>
    </row>
    <row r="2613" ht="12.75">
      <c r="S2613" s="7"/>
    </row>
    <row r="2614" ht="12.75">
      <c r="S2614" s="7"/>
    </row>
    <row r="2615" ht="12.75">
      <c r="S2615" s="7"/>
    </row>
    <row r="2616" ht="12.75">
      <c r="S2616" s="7"/>
    </row>
    <row r="2617" ht="12.75">
      <c r="S2617" s="7"/>
    </row>
    <row r="2618" ht="12.75">
      <c r="S2618" s="7"/>
    </row>
    <row r="2619" ht="12.75">
      <c r="S2619" s="7"/>
    </row>
    <row r="2620" ht="12.75">
      <c r="S2620" s="7"/>
    </row>
    <row r="2621" ht="12.75">
      <c r="S2621" s="7"/>
    </row>
    <row r="2622" ht="12.75">
      <c r="S2622" s="7"/>
    </row>
    <row r="2623" ht="12.75">
      <c r="S2623" s="7"/>
    </row>
    <row r="2624" ht="12.75">
      <c r="S2624" s="7"/>
    </row>
    <row r="2625" ht="12.75">
      <c r="S2625" s="7"/>
    </row>
    <row r="2626" ht="12.75">
      <c r="S2626" s="7"/>
    </row>
    <row r="2627" ht="12.75">
      <c r="S2627" s="7"/>
    </row>
    <row r="2628" ht="12.75">
      <c r="S2628" s="7"/>
    </row>
    <row r="2629" ht="12.75">
      <c r="S2629" s="7"/>
    </row>
    <row r="2630" ht="12.75">
      <c r="S2630" s="7"/>
    </row>
    <row r="2631" ht="12.75">
      <c r="S2631" s="7"/>
    </row>
    <row r="2632" ht="12.75">
      <c r="S2632" s="7"/>
    </row>
    <row r="2633" ht="12.75">
      <c r="S2633" s="7"/>
    </row>
    <row r="2634" ht="12.75">
      <c r="S2634" s="7"/>
    </row>
    <row r="2635" ht="12.75">
      <c r="S2635" s="7"/>
    </row>
    <row r="2636" ht="12.75">
      <c r="S2636" s="7"/>
    </row>
    <row r="2637" ht="12.75">
      <c r="S2637" s="7"/>
    </row>
    <row r="2638" ht="12.75">
      <c r="S2638" s="7"/>
    </row>
    <row r="2639" ht="12.75">
      <c r="S2639" s="7"/>
    </row>
    <row r="2640" ht="12.75">
      <c r="S2640" s="7"/>
    </row>
    <row r="2641" ht="12.75">
      <c r="S2641" s="7"/>
    </row>
    <row r="2642" ht="12.75">
      <c r="S2642" s="7"/>
    </row>
    <row r="2643" ht="12.75">
      <c r="S2643" s="7"/>
    </row>
    <row r="2644" ht="12.75">
      <c r="S2644" s="7"/>
    </row>
    <row r="2645" ht="12.75">
      <c r="S2645" s="7"/>
    </row>
    <row r="2646" ht="12.75">
      <c r="S2646" s="7"/>
    </row>
    <row r="2647" ht="12.75">
      <c r="S2647" s="7"/>
    </row>
    <row r="2648" ht="12.75">
      <c r="S2648" s="7"/>
    </row>
    <row r="2649" ht="12.75">
      <c r="S2649" s="7"/>
    </row>
    <row r="2650" ht="12.75">
      <c r="S2650" s="7"/>
    </row>
    <row r="2651" ht="12.75">
      <c r="S2651" s="7"/>
    </row>
    <row r="2652" ht="12.75">
      <c r="S2652" s="7"/>
    </row>
    <row r="2653" ht="12.75">
      <c r="S2653" s="7"/>
    </row>
    <row r="2654" ht="12.75">
      <c r="S2654" s="7"/>
    </row>
    <row r="2655" ht="12.75">
      <c r="S2655" s="7"/>
    </row>
    <row r="2656" ht="12.75">
      <c r="S2656" s="7"/>
    </row>
    <row r="2657" ht="12.75">
      <c r="S2657" s="7"/>
    </row>
    <row r="2658" ht="12.75">
      <c r="S2658" s="7"/>
    </row>
    <row r="2659" ht="12.75">
      <c r="S2659" s="7"/>
    </row>
    <row r="2660" ht="12.75">
      <c r="S2660" s="7"/>
    </row>
    <row r="2661" ht="12.75">
      <c r="S2661" s="7"/>
    </row>
    <row r="2662" ht="12.75">
      <c r="S2662" s="7"/>
    </row>
    <row r="2663" ht="12.75">
      <c r="S2663" s="7"/>
    </row>
    <row r="2664" ht="12.75">
      <c r="S2664" s="7"/>
    </row>
    <row r="2665" ht="12.75">
      <c r="S2665" s="7"/>
    </row>
    <row r="2666" ht="12.75">
      <c r="S2666" s="7"/>
    </row>
    <row r="2667" ht="12.75">
      <c r="S2667" s="7"/>
    </row>
    <row r="2668" ht="12.75">
      <c r="S2668" s="7"/>
    </row>
    <row r="2669" ht="12.75">
      <c r="S2669" s="7"/>
    </row>
    <row r="2670" ht="12.75">
      <c r="S2670" s="7"/>
    </row>
    <row r="2671" ht="12.75">
      <c r="S2671" s="7"/>
    </row>
    <row r="2672" ht="12.75">
      <c r="S2672" s="7"/>
    </row>
    <row r="2673" ht="12.75">
      <c r="S2673" s="7"/>
    </row>
    <row r="2674" ht="12.75">
      <c r="S2674" s="7"/>
    </row>
    <row r="2675" ht="12.75">
      <c r="S2675" s="7"/>
    </row>
    <row r="2676" ht="12.75">
      <c r="S2676" s="7"/>
    </row>
    <row r="2677" ht="12.75">
      <c r="S2677" s="7"/>
    </row>
    <row r="2678" ht="12.75">
      <c r="S2678" s="7"/>
    </row>
    <row r="2679" ht="12.75">
      <c r="S2679" s="7"/>
    </row>
    <row r="2680" ht="12.75">
      <c r="S2680" s="7"/>
    </row>
    <row r="2681" ht="12.75">
      <c r="S2681" s="7"/>
    </row>
    <row r="2682" ht="12.75">
      <c r="S2682" s="7"/>
    </row>
    <row r="2683" ht="12.75">
      <c r="S2683" s="7"/>
    </row>
    <row r="2684" ht="12.75">
      <c r="S2684" s="7"/>
    </row>
    <row r="2685" ht="12.75">
      <c r="S2685" s="7"/>
    </row>
    <row r="2686" ht="12.75">
      <c r="S2686" s="7"/>
    </row>
    <row r="2687" ht="12.75">
      <c r="S2687" s="7"/>
    </row>
    <row r="2688" ht="12.75">
      <c r="S2688" s="7"/>
    </row>
    <row r="2689" ht="12.75">
      <c r="S2689" s="7"/>
    </row>
    <row r="2690" ht="12.75">
      <c r="S2690" s="7"/>
    </row>
    <row r="2691" ht="12.75">
      <c r="S2691" s="7"/>
    </row>
    <row r="2692" ht="12.75">
      <c r="S2692" s="7"/>
    </row>
    <row r="2693" ht="12.75">
      <c r="S2693" s="7"/>
    </row>
    <row r="2694" ht="12.75">
      <c r="S2694" s="7"/>
    </row>
    <row r="2695" ht="12.75">
      <c r="S2695" s="7"/>
    </row>
    <row r="2696" ht="12.75">
      <c r="S2696" s="7"/>
    </row>
    <row r="2697" ht="12.75">
      <c r="S2697" s="7"/>
    </row>
    <row r="2698" ht="12.75">
      <c r="S2698" s="7"/>
    </row>
    <row r="2699" ht="12.75">
      <c r="S2699" s="7"/>
    </row>
    <row r="2700" ht="12.75">
      <c r="S2700" s="7"/>
    </row>
    <row r="2701" ht="12.75">
      <c r="S2701" s="7"/>
    </row>
    <row r="2702" ht="12.75">
      <c r="S2702" s="7"/>
    </row>
    <row r="2703" ht="12.75">
      <c r="S2703" s="7"/>
    </row>
    <row r="2704" ht="12.75">
      <c r="S2704" s="7"/>
    </row>
    <row r="2705" ht="12.75">
      <c r="S2705" s="7"/>
    </row>
    <row r="2706" ht="12.75">
      <c r="S2706" s="7"/>
    </row>
    <row r="2707" ht="12.75">
      <c r="S2707" s="7"/>
    </row>
    <row r="2708" ht="12.75">
      <c r="S2708" s="7"/>
    </row>
    <row r="2709" ht="12.75">
      <c r="S2709" s="7"/>
    </row>
    <row r="2710" ht="12.75">
      <c r="S2710" s="7"/>
    </row>
    <row r="2711" ht="12.75">
      <c r="S2711" s="7"/>
    </row>
    <row r="2712" ht="12.75">
      <c r="S2712" s="7"/>
    </row>
    <row r="2713" ht="12.75">
      <c r="S2713" s="7"/>
    </row>
    <row r="2714" ht="12.75">
      <c r="S2714" s="7"/>
    </row>
    <row r="2715" ht="12.75">
      <c r="S2715" s="7"/>
    </row>
    <row r="2716" ht="12.75">
      <c r="S2716" s="7"/>
    </row>
    <row r="2717" ht="12.75">
      <c r="S2717" s="7"/>
    </row>
    <row r="2718" ht="12.75">
      <c r="S2718" s="7"/>
    </row>
    <row r="2719" ht="12.75">
      <c r="S2719" s="7"/>
    </row>
    <row r="2720" ht="12.75">
      <c r="S2720" s="7"/>
    </row>
    <row r="2721" ht="12.75">
      <c r="S2721" s="7"/>
    </row>
    <row r="2722" ht="12.75">
      <c r="S2722" s="7"/>
    </row>
    <row r="2723" ht="12.75">
      <c r="S2723" s="7"/>
    </row>
    <row r="2724" ht="12.75">
      <c r="S2724" s="7"/>
    </row>
    <row r="2725" ht="12.75">
      <c r="S2725" s="7"/>
    </row>
    <row r="2726" ht="12.75">
      <c r="S2726" s="7"/>
    </row>
    <row r="2727" ht="12.75">
      <c r="S2727" s="7"/>
    </row>
    <row r="2728" ht="12.75">
      <c r="S2728" s="7"/>
    </row>
    <row r="2729" ht="12.75">
      <c r="S2729" s="7"/>
    </row>
    <row r="2730" ht="12.75">
      <c r="S2730" s="7"/>
    </row>
    <row r="2731" ht="12.75">
      <c r="S2731" s="7"/>
    </row>
    <row r="2732" ht="12.75">
      <c r="S2732" s="7"/>
    </row>
    <row r="2733" ht="12.75">
      <c r="S2733" s="7"/>
    </row>
    <row r="2734" ht="12.75">
      <c r="S2734" s="7"/>
    </row>
    <row r="2735" ht="12.75">
      <c r="S2735" s="7"/>
    </row>
    <row r="2736" ht="12.75">
      <c r="S2736" s="7"/>
    </row>
    <row r="2737" ht="12.75">
      <c r="S2737" s="7"/>
    </row>
    <row r="2738" ht="12.75">
      <c r="S2738" s="7"/>
    </row>
    <row r="2739" ht="12.75">
      <c r="S2739" s="7"/>
    </row>
    <row r="2740" ht="12.75">
      <c r="S2740" s="7"/>
    </row>
    <row r="2741" ht="12.75">
      <c r="S2741" s="7"/>
    </row>
    <row r="2742" ht="12.75">
      <c r="S2742" s="7"/>
    </row>
    <row r="2743" ht="12.75">
      <c r="S2743" s="7"/>
    </row>
    <row r="2744" ht="12.75">
      <c r="S2744" s="7"/>
    </row>
    <row r="2745" ht="12.75">
      <c r="S2745" s="7"/>
    </row>
    <row r="2746" ht="12.75">
      <c r="S2746" s="7"/>
    </row>
    <row r="2747" ht="12.75">
      <c r="S2747" s="7"/>
    </row>
    <row r="2748" ht="12.75">
      <c r="S2748" s="7"/>
    </row>
    <row r="2749" ht="12.75">
      <c r="S2749" s="7"/>
    </row>
    <row r="2750" ht="12.75">
      <c r="S2750" s="7"/>
    </row>
    <row r="2751" ht="12.75">
      <c r="S2751" s="7"/>
    </row>
    <row r="2752" ht="12.75">
      <c r="S2752" s="7"/>
    </row>
    <row r="2753" ht="12.75">
      <c r="S2753" s="7"/>
    </row>
    <row r="2754" ht="12.75">
      <c r="S2754" s="7"/>
    </row>
    <row r="2755" ht="12.75">
      <c r="S2755" s="7"/>
    </row>
    <row r="2756" ht="12.75">
      <c r="S2756" s="7"/>
    </row>
    <row r="2757" ht="12.75">
      <c r="S2757" s="7"/>
    </row>
    <row r="2758" ht="12.75">
      <c r="S2758" s="7"/>
    </row>
    <row r="2759" ht="12.75">
      <c r="S2759" s="7"/>
    </row>
    <row r="2760" ht="12.75">
      <c r="S2760" s="7"/>
    </row>
    <row r="2761" ht="12.75">
      <c r="S2761" s="7"/>
    </row>
    <row r="2762" ht="12.75">
      <c r="S2762" s="7"/>
    </row>
    <row r="2763" ht="12.75">
      <c r="S2763" s="7"/>
    </row>
    <row r="2764" ht="12.75">
      <c r="S2764" s="7"/>
    </row>
    <row r="2765" ht="12.75">
      <c r="S2765" s="7"/>
    </row>
    <row r="2766" ht="12.75">
      <c r="S2766" s="7"/>
    </row>
    <row r="2767" ht="12.75">
      <c r="S2767" s="7"/>
    </row>
    <row r="2768" ht="12.75">
      <c r="S2768" s="7"/>
    </row>
    <row r="2769" ht="12.75">
      <c r="S2769" s="7"/>
    </row>
    <row r="2770" ht="12.75">
      <c r="S2770" s="7"/>
    </row>
    <row r="2771" ht="12.75">
      <c r="S2771" s="7"/>
    </row>
    <row r="2772" ht="12.75">
      <c r="S2772" s="7"/>
    </row>
    <row r="2773" ht="12.75">
      <c r="S2773" s="7"/>
    </row>
    <row r="2774" ht="12.75">
      <c r="S2774" s="7"/>
    </row>
    <row r="2775" ht="12.75">
      <c r="S2775" s="7"/>
    </row>
    <row r="2776" ht="12.75">
      <c r="S2776" s="7"/>
    </row>
    <row r="2777" ht="12.75">
      <c r="S2777" s="7"/>
    </row>
    <row r="2778" ht="12.75">
      <c r="S2778" s="7"/>
    </row>
    <row r="2779" ht="12.75">
      <c r="S2779" s="7"/>
    </row>
    <row r="2780" ht="12.75">
      <c r="S2780" s="7"/>
    </row>
    <row r="2781" ht="12.75">
      <c r="S2781" s="7"/>
    </row>
    <row r="2782" ht="12.75">
      <c r="S2782" s="7"/>
    </row>
    <row r="2783" ht="12.75">
      <c r="S2783" s="7"/>
    </row>
    <row r="2784" ht="12.75">
      <c r="S2784" s="7"/>
    </row>
    <row r="2785" ht="12.75">
      <c r="S2785" s="7"/>
    </row>
    <row r="2786" ht="12.75">
      <c r="S2786" s="7"/>
    </row>
    <row r="2787" ht="12.75">
      <c r="S2787" s="7"/>
    </row>
    <row r="2788" ht="12.75">
      <c r="S2788" s="7"/>
    </row>
    <row r="2789" ht="12.75">
      <c r="S2789" s="7"/>
    </row>
    <row r="2790" ht="12.75">
      <c r="S2790" s="7"/>
    </row>
    <row r="2791" ht="12.75">
      <c r="S2791" s="7"/>
    </row>
    <row r="2792" ht="12.75">
      <c r="S2792" s="7"/>
    </row>
    <row r="2793" ht="12.75">
      <c r="S2793" s="7"/>
    </row>
    <row r="2794" ht="12.75">
      <c r="S2794" s="7"/>
    </row>
    <row r="2795" ht="12.75">
      <c r="S2795" s="7"/>
    </row>
    <row r="2796" ht="12.75">
      <c r="S2796" s="7"/>
    </row>
    <row r="2797" ht="12.75">
      <c r="S2797" s="7"/>
    </row>
    <row r="2798" ht="12.75">
      <c r="S2798" s="7"/>
    </row>
    <row r="2799" ht="12.75">
      <c r="S2799" s="7"/>
    </row>
    <row r="2800" ht="12.75">
      <c r="S2800" s="7"/>
    </row>
    <row r="2801" ht="12.75">
      <c r="S2801" s="7"/>
    </row>
    <row r="2802" ht="12.75">
      <c r="S2802" s="7"/>
    </row>
    <row r="2803" ht="12.75">
      <c r="S2803" s="7"/>
    </row>
    <row r="2804" ht="12.75">
      <c r="S2804" s="7"/>
    </row>
    <row r="2805" ht="12.75">
      <c r="S2805" s="7"/>
    </row>
    <row r="2806" ht="12.75">
      <c r="S2806" s="7"/>
    </row>
    <row r="2807" ht="12.75">
      <c r="S2807" s="7"/>
    </row>
    <row r="2808" ht="12.75">
      <c r="S2808" s="7"/>
    </row>
    <row r="2809" ht="12.75">
      <c r="S2809" s="7"/>
    </row>
    <row r="2810" ht="12.75">
      <c r="S2810" s="7"/>
    </row>
    <row r="2811" ht="12.75">
      <c r="S2811" s="7"/>
    </row>
    <row r="2812" ht="12.75">
      <c r="S2812" s="7"/>
    </row>
    <row r="2813" ht="12.75">
      <c r="S2813" s="7"/>
    </row>
    <row r="2814" ht="12.75">
      <c r="S2814" s="7"/>
    </row>
    <row r="2815" ht="12.75">
      <c r="S2815" s="7"/>
    </row>
    <row r="2816" ht="12.75">
      <c r="S2816" s="7"/>
    </row>
    <row r="2817" ht="12.75">
      <c r="S2817" s="7"/>
    </row>
    <row r="2818" ht="12.75">
      <c r="S2818" s="7"/>
    </row>
    <row r="2819" ht="12.75">
      <c r="S2819" s="7"/>
    </row>
    <row r="2820" ht="12.75">
      <c r="S2820" s="7"/>
    </row>
    <row r="2821" ht="12.75">
      <c r="S2821" s="7"/>
    </row>
    <row r="2822" ht="12.75">
      <c r="S2822" s="7"/>
    </row>
    <row r="2823" ht="12.75">
      <c r="S2823" s="7"/>
    </row>
    <row r="2824" ht="12.75">
      <c r="S2824" s="7"/>
    </row>
    <row r="2825" ht="12.75">
      <c r="S2825" s="7"/>
    </row>
    <row r="2826" ht="12.75">
      <c r="S2826" s="7"/>
    </row>
    <row r="2827" ht="12.75">
      <c r="S2827" s="7"/>
    </row>
    <row r="2828" ht="12.75">
      <c r="S2828" s="7"/>
    </row>
    <row r="2829" ht="12.75">
      <c r="S2829" s="7"/>
    </row>
    <row r="2830" ht="12.75">
      <c r="S2830" s="7"/>
    </row>
    <row r="2831" ht="12.75">
      <c r="S2831" s="7"/>
    </row>
    <row r="2832" ht="12.75">
      <c r="S2832" s="7"/>
    </row>
    <row r="2833" ht="12.75">
      <c r="S2833" s="7"/>
    </row>
    <row r="2834" ht="12.75">
      <c r="S2834" s="7"/>
    </row>
    <row r="2835" ht="12.75">
      <c r="S2835" s="7"/>
    </row>
    <row r="2836" ht="12.75">
      <c r="S2836" s="7"/>
    </row>
    <row r="2837" ht="12.75">
      <c r="S2837" s="7"/>
    </row>
    <row r="2838" ht="12.75">
      <c r="S2838" s="7"/>
    </row>
    <row r="2839" ht="12.75">
      <c r="S2839" s="7"/>
    </row>
    <row r="2840" ht="12.75">
      <c r="S2840" s="7"/>
    </row>
    <row r="2841" ht="12.75">
      <c r="S2841" s="7"/>
    </row>
    <row r="2842" ht="12.75">
      <c r="S2842" s="7"/>
    </row>
    <row r="2843" ht="12.75">
      <c r="S2843" s="7"/>
    </row>
    <row r="2844" ht="12.75">
      <c r="S2844" s="7"/>
    </row>
    <row r="2845" ht="12.75">
      <c r="S2845" s="7"/>
    </row>
    <row r="2846" ht="12.75">
      <c r="S2846" s="7"/>
    </row>
    <row r="2847" ht="12.75">
      <c r="S2847" s="7"/>
    </row>
    <row r="2848" ht="12.75">
      <c r="S2848" s="7"/>
    </row>
    <row r="2849" ht="12.75">
      <c r="S2849" s="7"/>
    </row>
    <row r="2850" ht="12.75">
      <c r="S2850" s="7"/>
    </row>
    <row r="2851" ht="12.75">
      <c r="S2851" s="7"/>
    </row>
    <row r="2852" ht="12.75">
      <c r="S2852" s="7"/>
    </row>
    <row r="2853" ht="12.75">
      <c r="S2853" s="7"/>
    </row>
    <row r="2854" ht="12.75">
      <c r="S2854" s="7"/>
    </row>
    <row r="2855" ht="12.75">
      <c r="S2855" s="7"/>
    </row>
    <row r="2856" ht="12.75">
      <c r="S2856" s="7"/>
    </row>
    <row r="2857" ht="12.75">
      <c r="S2857" s="7"/>
    </row>
    <row r="2858" ht="12.75">
      <c r="S2858" s="7"/>
    </row>
    <row r="2859" ht="12.75">
      <c r="S2859" s="7"/>
    </row>
    <row r="2860" ht="12.75">
      <c r="S2860" s="7"/>
    </row>
    <row r="2861" ht="12.75">
      <c r="S2861" s="7"/>
    </row>
    <row r="2862" ht="12.75">
      <c r="S2862" s="7"/>
    </row>
    <row r="2863" ht="12.75">
      <c r="S2863" s="7"/>
    </row>
    <row r="2864" ht="12.75">
      <c r="S2864" s="7"/>
    </row>
    <row r="2865" ht="12.75">
      <c r="S2865" s="7"/>
    </row>
    <row r="2866" ht="12.75">
      <c r="S2866" s="7"/>
    </row>
    <row r="2867" ht="12.75">
      <c r="S2867" s="7"/>
    </row>
    <row r="2868" ht="12.75">
      <c r="S2868" s="7"/>
    </row>
    <row r="2869" ht="12.75">
      <c r="S2869" s="7"/>
    </row>
    <row r="2870" ht="12.75">
      <c r="S2870" s="7"/>
    </row>
    <row r="2871" ht="12.75">
      <c r="S2871" s="7"/>
    </row>
    <row r="2872" ht="12.75">
      <c r="S2872" s="7"/>
    </row>
    <row r="2873" ht="12.75">
      <c r="S2873" s="7"/>
    </row>
    <row r="2874" ht="12.75">
      <c r="S2874" s="7"/>
    </row>
    <row r="2875" ht="12.75">
      <c r="S2875" s="7"/>
    </row>
    <row r="2876" ht="12.75">
      <c r="S2876" s="7"/>
    </row>
    <row r="2877" ht="12.75">
      <c r="S2877" s="7"/>
    </row>
    <row r="2878" ht="12.75">
      <c r="S2878" s="7"/>
    </row>
    <row r="2879" ht="12.75">
      <c r="S2879" s="7"/>
    </row>
    <row r="2880" ht="12.75">
      <c r="S2880" s="7"/>
    </row>
    <row r="2881" ht="12.75">
      <c r="S2881" s="7"/>
    </row>
    <row r="2882" ht="12.75">
      <c r="S2882" s="7"/>
    </row>
    <row r="2883" ht="12.75">
      <c r="S2883" s="7"/>
    </row>
    <row r="2884" ht="12.75">
      <c r="S2884" s="7"/>
    </row>
    <row r="2885" ht="12.75">
      <c r="S2885" s="7"/>
    </row>
    <row r="2886" ht="12.75">
      <c r="S2886" s="7"/>
    </row>
    <row r="2887" ht="12.75">
      <c r="S2887" s="7"/>
    </row>
    <row r="2888" ht="12.75">
      <c r="S2888" s="7"/>
    </row>
    <row r="2889" ht="12.75">
      <c r="S2889" s="7"/>
    </row>
    <row r="2890" ht="12.75">
      <c r="S2890" s="7"/>
    </row>
    <row r="2891" ht="12.75">
      <c r="S2891" s="7"/>
    </row>
    <row r="2892" ht="12.75">
      <c r="S2892" s="7"/>
    </row>
    <row r="2893" ht="12.75">
      <c r="S2893" s="7"/>
    </row>
    <row r="2894" ht="12.75">
      <c r="S2894" s="7"/>
    </row>
    <row r="2895" ht="12.75">
      <c r="S2895" s="7"/>
    </row>
    <row r="2896" ht="12.75">
      <c r="S2896" s="7"/>
    </row>
    <row r="2897" ht="12.75">
      <c r="S2897" s="7"/>
    </row>
    <row r="2898" ht="12.75">
      <c r="S2898" s="7"/>
    </row>
    <row r="2899" ht="12.75">
      <c r="S2899" s="7"/>
    </row>
    <row r="2900" ht="12.75">
      <c r="S2900" s="7"/>
    </row>
    <row r="2901" ht="12.75">
      <c r="S2901" s="7"/>
    </row>
    <row r="2902" ht="12.75">
      <c r="S2902" s="7"/>
    </row>
    <row r="2903" ht="12.75">
      <c r="S2903" s="7"/>
    </row>
    <row r="2904" ht="12.75">
      <c r="S2904" s="7"/>
    </row>
    <row r="2905" ht="12.75">
      <c r="S2905" s="7"/>
    </row>
    <row r="2906" ht="12.75">
      <c r="S2906" s="7"/>
    </row>
    <row r="2907" ht="12.75">
      <c r="S2907" s="7"/>
    </row>
    <row r="2908" ht="12.75">
      <c r="S2908" s="7"/>
    </row>
    <row r="2909" ht="12.75">
      <c r="S2909" s="7"/>
    </row>
    <row r="2910" ht="12.75">
      <c r="S2910" s="7"/>
    </row>
    <row r="2911" ht="12.75">
      <c r="S2911" s="7"/>
    </row>
    <row r="2912" ht="12.75">
      <c r="S2912" s="7"/>
    </row>
    <row r="2913" ht="12.75">
      <c r="S2913" s="7"/>
    </row>
    <row r="2914" ht="12.75">
      <c r="S2914" s="7"/>
    </row>
    <row r="2915" ht="12.75">
      <c r="S2915" s="7"/>
    </row>
    <row r="2916" ht="12.75">
      <c r="S2916" s="7"/>
    </row>
    <row r="2917" ht="12.75">
      <c r="S2917" s="7"/>
    </row>
    <row r="2918" ht="12.75">
      <c r="S2918" s="7"/>
    </row>
    <row r="2919" ht="12.75">
      <c r="S2919" s="7"/>
    </row>
    <row r="2920" ht="12.75">
      <c r="S2920" s="7"/>
    </row>
    <row r="2921" ht="12.75">
      <c r="S2921" s="7"/>
    </row>
    <row r="2922" ht="12.75">
      <c r="S2922" s="7"/>
    </row>
    <row r="2923" ht="12.75">
      <c r="S2923" s="7"/>
    </row>
    <row r="2924" ht="12.75">
      <c r="S2924" s="7"/>
    </row>
    <row r="2925" ht="12.75">
      <c r="S2925" s="7"/>
    </row>
    <row r="2926" ht="12.75">
      <c r="S2926" s="7"/>
    </row>
    <row r="2927" ht="12.75">
      <c r="S2927" s="7"/>
    </row>
    <row r="2928" ht="12.75">
      <c r="S2928" s="7"/>
    </row>
    <row r="2929" ht="12.75">
      <c r="S2929" s="7"/>
    </row>
    <row r="2930" ht="12.75">
      <c r="S2930" s="7"/>
    </row>
    <row r="2931" ht="12.75">
      <c r="S2931" s="7"/>
    </row>
    <row r="2932" ht="12.75">
      <c r="S2932" s="7"/>
    </row>
    <row r="2933" ht="12.75">
      <c r="S2933" s="7"/>
    </row>
    <row r="2934" ht="12.75">
      <c r="S2934" s="7"/>
    </row>
    <row r="2935" ht="12.75">
      <c r="S2935" s="7"/>
    </row>
    <row r="2936" ht="12.75">
      <c r="S2936" s="7"/>
    </row>
    <row r="2937" ht="12.75">
      <c r="S2937" s="7"/>
    </row>
    <row r="2938" ht="12.75">
      <c r="S2938" s="7"/>
    </row>
    <row r="2939" ht="12.75">
      <c r="S2939" s="7"/>
    </row>
    <row r="2940" ht="12.75">
      <c r="S2940" s="7"/>
    </row>
    <row r="2941" ht="12.75">
      <c r="S2941" s="7"/>
    </row>
    <row r="2942" ht="12.75">
      <c r="S2942" s="7"/>
    </row>
    <row r="2943" ht="12.75">
      <c r="S2943" s="7"/>
    </row>
    <row r="2944" ht="12.75">
      <c r="S2944" s="7"/>
    </row>
    <row r="2945" ht="12.75">
      <c r="S2945" s="7"/>
    </row>
    <row r="2946" ht="12.75">
      <c r="S2946" s="7"/>
    </row>
    <row r="2947" ht="12.75">
      <c r="S2947" s="7"/>
    </row>
    <row r="2948" ht="12.75">
      <c r="S2948" s="7"/>
    </row>
    <row r="2949" ht="12.75">
      <c r="S2949" s="7"/>
    </row>
    <row r="2950" ht="12.75">
      <c r="S2950" s="7"/>
    </row>
    <row r="2951" ht="12.75">
      <c r="S2951" s="7"/>
    </row>
    <row r="2952" ht="12.75">
      <c r="S2952" s="7"/>
    </row>
    <row r="2953" ht="12.75">
      <c r="S2953" s="7"/>
    </row>
    <row r="2954" ht="12.75">
      <c r="S2954" s="7"/>
    </row>
    <row r="2955" ht="12.75">
      <c r="S2955" s="7"/>
    </row>
    <row r="2956" ht="12.75">
      <c r="S2956" s="7"/>
    </row>
    <row r="2957" ht="12.75">
      <c r="S2957" s="7"/>
    </row>
    <row r="2958" ht="12.75">
      <c r="S2958" s="7"/>
    </row>
    <row r="2959" ht="12.75">
      <c r="S2959" s="7"/>
    </row>
    <row r="2960" ht="12.75">
      <c r="S2960" s="7"/>
    </row>
    <row r="2961" ht="12.75">
      <c r="S2961" s="7"/>
    </row>
    <row r="2962" ht="12.75">
      <c r="S2962" s="7"/>
    </row>
    <row r="2963" ht="12.75">
      <c r="S2963" s="7"/>
    </row>
    <row r="2964" ht="12.75">
      <c r="S2964" s="7"/>
    </row>
    <row r="2965" ht="12.75">
      <c r="S2965" s="7"/>
    </row>
    <row r="2966" ht="12.75">
      <c r="S2966" s="7"/>
    </row>
    <row r="2967" ht="12.75">
      <c r="S2967" s="7"/>
    </row>
    <row r="2968" ht="12.75">
      <c r="S2968" s="7"/>
    </row>
    <row r="2969" ht="12.75">
      <c r="S2969" s="7"/>
    </row>
    <row r="2970" ht="12.75">
      <c r="S2970" s="7"/>
    </row>
    <row r="2971" ht="12.75">
      <c r="S2971" s="7"/>
    </row>
    <row r="2972" ht="12.75">
      <c r="S2972" s="7"/>
    </row>
    <row r="2973" ht="12.75">
      <c r="S2973" s="7"/>
    </row>
    <row r="2974" ht="12.75">
      <c r="S2974" s="7"/>
    </row>
    <row r="2975" ht="12.75">
      <c r="S2975" s="7"/>
    </row>
    <row r="2976" ht="12.75">
      <c r="S2976" s="7"/>
    </row>
    <row r="2977" ht="12.75">
      <c r="S2977" s="7"/>
    </row>
    <row r="2978" ht="12.75">
      <c r="S2978" s="7"/>
    </row>
    <row r="2979" ht="12.75">
      <c r="S2979" s="7"/>
    </row>
    <row r="2980" ht="12.75">
      <c r="S2980" s="7"/>
    </row>
    <row r="2981" ht="12.75">
      <c r="S2981" s="7"/>
    </row>
    <row r="2982" ht="12.75">
      <c r="S2982" s="7"/>
    </row>
    <row r="2983" ht="12.75">
      <c r="S2983" s="7"/>
    </row>
    <row r="2984" ht="12.75">
      <c r="S2984" s="7"/>
    </row>
    <row r="2985" ht="12.75">
      <c r="S2985" s="7"/>
    </row>
    <row r="2986" ht="12.75">
      <c r="S2986" s="7"/>
    </row>
    <row r="2987" ht="12.75">
      <c r="S2987" s="7"/>
    </row>
    <row r="2988" ht="12.75">
      <c r="S2988" s="7"/>
    </row>
    <row r="2989" ht="12.75">
      <c r="S2989" s="7"/>
    </row>
    <row r="2990" ht="12.75">
      <c r="S2990" s="7"/>
    </row>
    <row r="2991" ht="12.75">
      <c r="S2991" s="7"/>
    </row>
    <row r="2992" ht="12.75">
      <c r="S2992" s="7"/>
    </row>
    <row r="2993" ht="12.75">
      <c r="S2993" s="7"/>
    </row>
    <row r="2994" ht="12.75">
      <c r="S2994" s="7"/>
    </row>
    <row r="2995" ht="12.75">
      <c r="S2995" s="7"/>
    </row>
    <row r="2996" ht="12.75">
      <c r="S2996" s="7"/>
    </row>
    <row r="2997" ht="12.75">
      <c r="S2997" s="7"/>
    </row>
    <row r="2998" ht="12.75">
      <c r="S2998" s="7"/>
    </row>
    <row r="2999" ht="12.75">
      <c r="S2999" s="7"/>
    </row>
    <row r="3000" ht="12.75">
      <c r="S3000" s="7"/>
    </row>
    <row r="3001" ht="12.75">
      <c r="S3001" s="7"/>
    </row>
    <row r="3002" ht="12.75">
      <c r="S3002" s="7"/>
    </row>
    <row r="3003" ht="12.75">
      <c r="S3003" s="7"/>
    </row>
    <row r="3004" ht="12.75">
      <c r="S3004" s="7"/>
    </row>
    <row r="3005" ht="12.75">
      <c r="S3005" s="7"/>
    </row>
    <row r="3006" ht="12.75">
      <c r="S3006" s="7"/>
    </row>
    <row r="3007" ht="12.75">
      <c r="S3007" s="7"/>
    </row>
    <row r="3008" ht="12.75">
      <c r="S3008" s="7"/>
    </row>
    <row r="3009" ht="12.75">
      <c r="S3009" s="7"/>
    </row>
    <row r="3010" ht="12.75">
      <c r="S3010" s="7"/>
    </row>
    <row r="3011" ht="12.75">
      <c r="S3011" s="7"/>
    </row>
    <row r="3012" ht="12.75">
      <c r="S3012" s="7"/>
    </row>
    <row r="3013" ht="12.75">
      <c r="S3013" s="7"/>
    </row>
    <row r="3014" ht="12.75">
      <c r="S3014" s="7"/>
    </row>
    <row r="3015" ht="12.75">
      <c r="S3015" s="7"/>
    </row>
    <row r="3016" ht="12.75">
      <c r="S3016" s="7"/>
    </row>
    <row r="3017" ht="12.75">
      <c r="S3017" s="7"/>
    </row>
    <row r="3018" ht="12.75">
      <c r="S3018" s="7"/>
    </row>
    <row r="3019" ht="12.75">
      <c r="S3019" s="7"/>
    </row>
    <row r="3020" ht="12.75">
      <c r="S3020" s="7"/>
    </row>
    <row r="3021" ht="12.75">
      <c r="S3021" s="7"/>
    </row>
    <row r="3022" ht="12.75">
      <c r="S3022" s="7"/>
    </row>
    <row r="3023" ht="12.75">
      <c r="S3023" s="7"/>
    </row>
    <row r="3024" ht="12.75">
      <c r="S3024" s="7"/>
    </row>
    <row r="3025" ht="12.75">
      <c r="S3025" s="7"/>
    </row>
    <row r="3026" ht="12.75">
      <c r="S3026" s="7"/>
    </row>
    <row r="3027" ht="12.75">
      <c r="S3027" s="7"/>
    </row>
    <row r="3028" ht="12.75">
      <c r="S3028" s="7"/>
    </row>
    <row r="3029" ht="12.75">
      <c r="S3029" s="7"/>
    </row>
    <row r="3030" ht="12.75">
      <c r="S3030" s="7"/>
    </row>
    <row r="3031" ht="12.75">
      <c r="S3031" s="7"/>
    </row>
    <row r="3032" ht="12.75">
      <c r="S3032" s="7"/>
    </row>
    <row r="3033" ht="12.75">
      <c r="S3033" s="7"/>
    </row>
    <row r="3034" ht="12.75">
      <c r="S3034" s="7"/>
    </row>
    <row r="3035" ht="12.75">
      <c r="S3035" s="7"/>
    </row>
    <row r="3036" ht="12.75">
      <c r="S3036" s="7"/>
    </row>
    <row r="3037" ht="12.75">
      <c r="S3037" s="7"/>
    </row>
    <row r="3038" ht="12.75">
      <c r="S3038" s="7"/>
    </row>
    <row r="3039" ht="12.75">
      <c r="S3039" s="7"/>
    </row>
    <row r="3040" ht="12.75">
      <c r="S3040" s="7"/>
    </row>
    <row r="3041" ht="12.75">
      <c r="S3041" s="7"/>
    </row>
    <row r="3042" ht="12.75">
      <c r="S3042" s="7"/>
    </row>
    <row r="3043" ht="12.75">
      <c r="S3043" s="7"/>
    </row>
    <row r="3044" ht="12.75">
      <c r="S3044" s="7"/>
    </row>
    <row r="3045" ht="12.75">
      <c r="S3045" s="7"/>
    </row>
    <row r="3046" ht="12.75">
      <c r="S3046" s="7"/>
    </row>
    <row r="3047" ht="12.75">
      <c r="S3047" s="7"/>
    </row>
    <row r="3048" ht="12.75">
      <c r="S3048" s="7"/>
    </row>
    <row r="3049" ht="12.75">
      <c r="S3049" s="7"/>
    </row>
    <row r="3050" ht="12.75">
      <c r="S3050" s="7"/>
    </row>
    <row r="3051" ht="12.75">
      <c r="S3051" s="7"/>
    </row>
    <row r="3052" ht="12.75">
      <c r="S3052" s="7"/>
    </row>
    <row r="3053" ht="12.75">
      <c r="S3053" s="7"/>
    </row>
    <row r="3054" ht="12.75">
      <c r="S3054" s="7"/>
    </row>
    <row r="3055" ht="12.75">
      <c r="S3055" s="7"/>
    </row>
    <row r="3056" ht="12.75">
      <c r="S3056" s="7"/>
    </row>
    <row r="3057" ht="12.75">
      <c r="S3057" s="7"/>
    </row>
    <row r="3058" ht="12.75">
      <c r="S3058" s="7"/>
    </row>
    <row r="3059" ht="12.75">
      <c r="S3059" s="7"/>
    </row>
    <row r="3060" ht="12.75">
      <c r="S3060" s="7"/>
    </row>
    <row r="3061" ht="12.75">
      <c r="S3061" s="7"/>
    </row>
    <row r="3062" ht="12.75">
      <c r="S3062" s="7"/>
    </row>
    <row r="3063" ht="12.75">
      <c r="S3063" s="7"/>
    </row>
    <row r="3064" ht="12.75">
      <c r="S3064" s="7"/>
    </row>
    <row r="3065" ht="12.75">
      <c r="S3065" s="7"/>
    </row>
    <row r="3066" ht="12.75">
      <c r="S3066" s="7"/>
    </row>
    <row r="3067" ht="12.75">
      <c r="S3067" s="7"/>
    </row>
    <row r="3068" ht="12.75">
      <c r="S3068" s="7"/>
    </row>
    <row r="3069" ht="12.75">
      <c r="S3069" s="7"/>
    </row>
    <row r="3070" ht="12.75">
      <c r="S3070" s="7"/>
    </row>
    <row r="3071" ht="12.75">
      <c r="S3071" s="7"/>
    </row>
    <row r="3072" ht="12.75">
      <c r="S3072" s="7"/>
    </row>
    <row r="3073" ht="12.75">
      <c r="S3073" s="7"/>
    </row>
    <row r="3074" ht="12.75">
      <c r="S3074" s="7"/>
    </row>
    <row r="3075" ht="12.75">
      <c r="S3075" s="7"/>
    </row>
    <row r="3076" ht="12.75">
      <c r="S3076" s="7"/>
    </row>
    <row r="3077" ht="12.75">
      <c r="S3077" s="7"/>
    </row>
    <row r="3078" ht="12.75">
      <c r="S3078" s="7"/>
    </row>
    <row r="3079" ht="12.75">
      <c r="S3079" s="7"/>
    </row>
    <row r="3080" ht="12.75">
      <c r="S3080" s="7"/>
    </row>
    <row r="3081" ht="12.75">
      <c r="S3081" s="7"/>
    </row>
    <row r="3082" ht="12.75">
      <c r="S3082" s="7"/>
    </row>
    <row r="3083" ht="12.75">
      <c r="S3083" s="7"/>
    </row>
    <row r="3084" ht="12.75">
      <c r="S3084" s="7"/>
    </row>
    <row r="3085" ht="12.75">
      <c r="S3085" s="7"/>
    </row>
    <row r="3086" ht="12.75">
      <c r="S3086" s="7"/>
    </row>
    <row r="3087" ht="12.75">
      <c r="S3087" s="7"/>
    </row>
    <row r="3088" ht="12.75">
      <c r="S3088" s="7"/>
    </row>
    <row r="3089" ht="12.75">
      <c r="S3089" s="7"/>
    </row>
    <row r="3090" ht="12.75">
      <c r="S3090" s="7"/>
    </row>
    <row r="3091" ht="12.75">
      <c r="S3091" s="7"/>
    </row>
    <row r="3092" ht="12.75">
      <c r="S3092" s="7"/>
    </row>
    <row r="3093" ht="12.75">
      <c r="S3093" s="7"/>
    </row>
    <row r="3094" ht="12.75">
      <c r="S3094" s="7"/>
    </row>
    <row r="3095" ht="12.75">
      <c r="S3095" s="7"/>
    </row>
    <row r="3096" ht="12.75">
      <c r="S3096" s="7"/>
    </row>
    <row r="3097" ht="12.75">
      <c r="S3097" s="7"/>
    </row>
    <row r="3098" ht="12.75">
      <c r="S3098" s="7"/>
    </row>
    <row r="3099" ht="12.75">
      <c r="S3099" s="7"/>
    </row>
    <row r="3100" ht="12.75">
      <c r="S3100" s="7"/>
    </row>
    <row r="3101" ht="12.75">
      <c r="S3101" s="7"/>
    </row>
    <row r="3102" ht="12.75">
      <c r="S3102" s="7"/>
    </row>
    <row r="3103" ht="12.75">
      <c r="S3103" s="7"/>
    </row>
    <row r="3104" ht="12.75">
      <c r="S3104" s="7"/>
    </row>
    <row r="3105" ht="12.75">
      <c r="S3105" s="7"/>
    </row>
    <row r="3106" ht="12.75">
      <c r="S3106" s="7"/>
    </row>
    <row r="3107" ht="12.75">
      <c r="S3107" s="7"/>
    </row>
    <row r="3108" ht="12.75">
      <c r="S3108" s="7"/>
    </row>
    <row r="3109" ht="12.75">
      <c r="S3109" s="7"/>
    </row>
    <row r="3110" ht="12.75">
      <c r="S3110" s="7"/>
    </row>
    <row r="3111" ht="12.75">
      <c r="S3111" s="7"/>
    </row>
    <row r="3112" ht="12.75">
      <c r="S3112" s="7"/>
    </row>
    <row r="3113" ht="12.75">
      <c r="S3113" s="7"/>
    </row>
    <row r="3114" ht="12.75">
      <c r="S3114" s="7"/>
    </row>
    <row r="3115" ht="12.75">
      <c r="S3115" s="7"/>
    </row>
    <row r="3116" ht="12.75">
      <c r="S3116" s="7"/>
    </row>
    <row r="3117" ht="12.75">
      <c r="S3117" s="7"/>
    </row>
    <row r="3118" ht="12.75">
      <c r="S3118" s="7"/>
    </row>
    <row r="3119" ht="12.75">
      <c r="S3119" s="7"/>
    </row>
    <row r="3120" ht="12.75">
      <c r="S3120" s="7"/>
    </row>
    <row r="3121" ht="12.75">
      <c r="S3121" s="7"/>
    </row>
    <row r="3122" ht="12.75">
      <c r="S3122" s="7"/>
    </row>
    <row r="3123" ht="12.75">
      <c r="S3123" s="7"/>
    </row>
    <row r="3124" ht="12.75">
      <c r="S3124" s="7"/>
    </row>
    <row r="3125" ht="12.75">
      <c r="S3125" s="7"/>
    </row>
    <row r="3126" ht="12.75">
      <c r="S3126" s="7"/>
    </row>
    <row r="3127" ht="12.75">
      <c r="S3127" s="7"/>
    </row>
    <row r="3128" ht="12.75">
      <c r="S3128" s="7"/>
    </row>
    <row r="3129" ht="12.75">
      <c r="S3129" s="7"/>
    </row>
    <row r="3130" ht="12.75">
      <c r="S3130" s="7"/>
    </row>
    <row r="3131" ht="12.75">
      <c r="S3131" s="7"/>
    </row>
    <row r="3132" ht="12.75">
      <c r="S3132" s="7"/>
    </row>
    <row r="3133" ht="12.75">
      <c r="S3133" s="7"/>
    </row>
    <row r="3134" ht="12.75">
      <c r="S3134" s="7"/>
    </row>
    <row r="3135" ht="12.75">
      <c r="S3135" s="7"/>
    </row>
    <row r="3136" ht="12.75">
      <c r="S3136" s="7"/>
    </row>
    <row r="3137" ht="12.75">
      <c r="S3137" s="7"/>
    </row>
    <row r="3138" ht="12.75">
      <c r="S3138" s="7"/>
    </row>
    <row r="3139" ht="12.75">
      <c r="S3139" s="7"/>
    </row>
    <row r="3140" ht="12.75">
      <c r="S3140" s="7"/>
    </row>
    <row r="3141" ht="12.75">
      <c r="S3141" s="7"/>
    </row>
    <row r="3142" ht="12.75">
      <c r="S3142" s="7"/>
    </row>
    <row r="3143" ht="12.75">
      <c r="S3143" s="7"/>
    </row>
    <row r="3144" ht="12.75">
      <c r="S3144" s="7"/>
    </row>
    <row r="3145" ht="12.75">
      <c r="S3145" s="7"/>
    </row>
    <row r="3146" ht="12.75">
      <c r="S3146" s="7"/>
    </row>
    <row r="3147" ht="12.75">
      <c r="S3147" s="7"/>
    </row>
    <row r="3148" ht="12.75">
      <c r="S3148" s="7"/>
    </row>
    <row r="3149" ht="12.75">
      <c r="S3149" s="7"/>
    </row>
    <row r="3150" ht="12.75">
      <c r="S3150" s="7"/>
    </row>
    <row r="3151" ht="12.75">
      <c r="S3151" s="7"/>
    </row>
    <row r="3152" ht="12.75">
      <c r="S3152" s="7"/>
    </row>
    <row r="3153" ht="12.75">
      <c r="S3153" s="7"/>
    </row>
    <row r="3154" ht="12.75">
      <c r="S3154" s="7"/>
    </row>
    <row r="3155" ht="12.75">
      <c r="S3155" s="7"/>
    </row>
    <row r="3156" ht="12.75">
      <c r="S3156" s="7"/>
    </row>
    <row r="3157" ht="12.75">
      <c r="S3157" s="7"/>
    </row>
    <row r="3158" ht="12.75">
      <c r="S3158" s="7"/>
    </row>
    <row r="3159" ht="12.75">
      <c r="S3159" s="7"/>
    </row>
    <row r="3160" ht="12.75">
      <c r="S3160" s="7"/>
    </row>
    <row r="3161" ht="12.75">
      <c r="S3161" s="7"/>
    </row>
    <row r="3162" ht="12.75">
      <c r="S3162" s="7"/>
    </row>
    <row r="3163" ht="12.75">
      <c r="S3163" s="7"/>
    </row>
    <row r="3164" ht="12.75">
      <c r="S3164" s="7"/>
    </row>
    <row r="3165" ht="12.75">
      <c r="S3165" s="7"/>
    </row>
    <row r="3166" ht="12.75">
      <c r="S3166" s="7"/>
    </row>
    <row r="3167" ht="12.75">
      <c r="S3167" s="7"/>
    </row>
    <row r="3168" ht="12.75">
      <c r="S3168" s="7"/>
    </row>
    <row r="3169" ht="12.75">
      <c r="S3169" s="7"/>
    </row>
    <row r="3170" ht="12.75">
      <c r="S3170" s="7"/>
    </row>
    <row r="3171" ht="12.75">
      <c r="S3171" s="7"/>
    </row>
    <row r="3172" ht="12.75">
      <c r="S3172" s="7"/>
    </row>
    <row r="3173" ht="12.75">
      <c r="S3173" s="7"/>
    </row>
    <row r="3174" ht="12.75">
      <c r="S3174" s="7"/>
    </row>
    <row r="3175" ht="12.75">
      <c r="S3175" s="7"/>
    </row>
    <row r="3176" ht="12.75">
      <c r="S3176" s="7"/>
    </row>
    <row r="3177" ht="12.75">
      <c r="S3177" s="7"/>
    </row>
    <row r="3178" ht="12.75">
      <c r="S3178" s="7"/>
    </row>
    <row r="3179" ht="12.75">
      <c r="S3179" s="7"/>
    </row>
    <row r="3180" ht="12.75">
      <c r="S3180" s="7"/>
    </row>
    <row r="3181" ht="12.75">
      <c r="S3181" s="7"/>
    </row>
    <row r="3182" ht="12.75">
      <c r="S3182" s="7"/>
    </row>
    <row r="3183" ht="12.75">
      <c r="S3183" s="7"/>
    </row>
    <row r="3184" ht="12.75">
      <c r="S3184" s="7"/>
    </row>
    <row r="3185" ht="12.75">
      <c r="S3185" s="7"/>
    </row>
    <row r="3186" ht="12.75">
      <c r="S3186" s="7"/>
    </row>
    <row r="3187" ht="12.75">
      <c r="S3187" s="7"/>
    </row>
    <row r="3188" ht="12.75">
      <c r="S3188" s="7"/>
    </row>
    <row r="3189" ht="12.75">
      <c r="S3189" s="7"/>
    </row>
    <row r="3190" ht="12.75">
      <c r="S3190" s="7"/>
    </row>
    <row r="3191" ht="12.75">
      <c r="S3191" s="7"/>
    </row>
    <row r="3192" ht="12.75">
      <c r="S3192" s="7"/>
    </row>
    <row r="3193" ht="12.75">
      <c r="S3193" s="7"/>
    </row>
    <row r="3194" ht="12.75">
      <c r="S3194" s="7"/>
    </row>
    <row r="3195" ht="12.75">
      <c r="S3195" s="7"/>
    </row>
    <row r="3196" ht="12.75">
      <c r="S3196" s="7"/>
    </row>
    <row r="3197" ht="12.75">
      <c r="S3197" s="7"/>
    </row>
    <row r="3198" ht="12.75">
      <c r="S3198" s="7"/>
    </row>
    <row r="3199" ht="12.75">
      <c r="S3199" s="7"/>
    </row>
    <row r="3200" ht="12.75">
      <c r="S3200" s="7"/>
    </row>
    <row r="3201" ht="12.75">
      <c r="S3201" s="7"/>
    </row>
    <row r="3202" ht="12.75">
      <c r="S3202" s="7"/>
    </row>
    <row r="3203" ht="12.75">
      <c r="S3203" s="7"/>
    </row>
    <row r="3204" ht="12.75">
      <c r="S3204" s="7"/>
    </row>
    <row r="3205" ht="12.75">
      <c r="S3205" s="7"/>
    </row>
    <row r="3206" ht="12.75">
      <c r="S3206" s="7"/>
    </row>
    <row r="3207" ht="12.75">
      <c r="S3207" s="7"/>
    </row>
    <row r="3208" ht="12.75">
      <c r="S3208" s="7"/>
    </row>
    <row r="3209" ht="12.75">
      <c r="S3209" s="7"/>
    </row>
    <row r="3210" ht="12.75">
      <c r="S3210" s="7"/>
    </row>
    <row r="3211" ht="12.75">
      <c r="S3211" s="7"/>
    </row>
    <row r="3212" ht="12.75">
      <c r="S3212" s="7"/>
    </row>
    <row r="3213" ht="12.75">
      <c r="S3213" s="7"/>
    </row>
    <row r="3214" ht="12.75">
      <c r="S3214" s="7"/>
    </row>
    <row r="3215" ht="12.75">
      <c r="S3215" s="7"/>
    </row>
    <row r="3216" ht="12.75">
      <c r="S3216" s="7"/>
    </row>
    <row r="3217" ht="12.75">
      <c r="S3217" s="7"/>
    </row>
    <row r="3218" ht="12.75">
      <c r="S3218" s="7"/>
    </row>
    <row r="3219" ht="12.75">
      <c r="S3219" s="7"/>
    </row>
    <row r="3220" ht="12.75">
      <c r="S3220" s="7"/>
    </row>
    <row r="3221" ht="12.75">
      <c r="S3221" s="7"/>
    </row>
    <row r="3222" ht="12.75">
      <c r="S3222" s="7"/>
    </row>
    <row r="3223" ht="12.75">
      <c r="S3223" s="7"/>
    </row>
    <row r="3224" ht="12.75">
      <c r="S3224" s="7"/>
    </row>
    <row r="3225" ht="12.75">
      <c r="S3225" s="7"/>
    </row>
    <row r="3226" ht="12.75">
      <c r="S3226" s="7"/>
    </row>
    <row r="3227" ht="12.75">
      <c r="S3227" s="7"/>
    </row>
    <row r="3228" ht="12.75">
      <c r="S3228" s="7"/>
    </row>
    <row r="3229" ht="12.75">
      <c r="S3229" s="7"/>
    </row>
    <row r="3230" ht="12.75">
      <c r="S3230" s="7"/>
    </row>
    <row r="3231" ht="12.75">
      <c r="S3231" s="7"/>
    </row>
    <row r="3232" ht="12.75">
      <c r="S3232" s="7"/>
    </row>
    <row r="3233" ht="12.75">
      <c r="S3233" s="7"/>
    </row>
    <row r="3234" ht="12.75">
      <c r="S3234" s="7"/>
    </row>
    <row r="3235" ht="12.75">
      <c r="S3235" s="7"/>
    </row>
    <row r="3236" ht="12.75">
      <c r="S3236" s="7"/>
    </row>
    <row r="3237" ht="12.75">
      <c r="S3237" s="7"/>
    </row>
    <row r="3238" ht="12.75">
      <c r="S3238" s="7"/>
    </row>
    <row r="3239" ht="12.75">
      <c r="S3239" s="7"/>
    </row>
    <row r="3240" ht="12.75">
      <c r="S3240" s="7"/>
    </row>
    <row r="3241" ht="12.75">
      <c r="S3241" s="7"/>
    </row>
    <row r="3242" ht="12.75">
      <c r="S3242" s="7"/>
    </row>
    <row r="3243" ht="12.75">
      <c r="S3243" s="7"/>
    </row>
    <row r="3244" ht="12.75">
      <c r="S3244" s="7"/>
    </row>
    <row r="3245" ht="12.75">
      <c r="S3245" s="7"/>
    </row>
    <row r="3246" ht="12.75">
      <c r="S3246" s="7"/>
    </row>
    <row r="3247" ht="12.75">
      <c r="S3247" s="7"/>
    </row>
    <row r="3248" ht="12.75">
      <c r="S3248" s="7"/>
    </row>
    <row r="3249" ht="12.75">
      <c r="S3249" s="7"/>
    </row>
    <row r="3250" ht="12.75">
      <c r="S3250" s="7"/>
    </row>
    <row r="3251" ht="12.75">
      <c r="S3251" s="7"/>
    </row>
    <row r="3252" ht="12.75">
      <c r="S3252" s="7"/>
    </row>
    <row r="3253" ht="12.75">
      <c r="S3253" s="7"/>
    </row>
    <row r="3254" ht="12.75">
      <c r="S3254" s="7"/>
    </row>
    <row r="3255" ht="12.75">
      <c r="S3255" s="7"/>
    </row>
    <row r="3256" ht="12.75">
      <c r="S3256" s="7"/>
    </row>
    <row r="3257" ht="12.75">
      <c r="S3257" s="7"/>
    </row>
    <row r="3258" ht="12.75">
      <c r="S3258" s="7"/>
    </row>
    <row r="3259" ht="12.75">
      <c r="S3259" s="7"/>
    </row>
    <row r="3260" ht="12.75">
      <c r="S3260" s="7"/>
    </row>
    <row r="3261" ht="12.75">
      <c r="S3261" s="7"/>
    </row>
    <row r="3262" ht="12.75">
      <c r="S3262" s="7"/>
    </row>
    <row r="3263" ht="12.75">
      <c r="S3263" s="7"/>
    </row>
    <row r="3264" ht="12.75">
      <c r="S3264" s="7"/>
    </row>
    <row r="3265" ht="12.75">
      <c r="S3265" s="7"/>
    </row>
    <row r="3266" ht="12.75">
      <c r="S3266" s="7"/>
    </row>
    <row r="3267" ht="12.75">
      <c r="S3267" s="7"/>
    </row>
    <row r="3268" ht="12.75">
      <c r="S3268" s="7"/>
    </row>
    <row r="3269" ht="12.75">
      <c r="S3269" s="7"/>
    </row>
    <row r="3270" ht="12.75">
      <c r="S3270" s="7"/>
    </row>
    <row r="3271" ht="12.75">
      <c r="S3271" s="7"/>
    </row>
    <row r="3272" ht="12.75">
      <c r="S3272" s="7"/>
    </row>
    <row r="3273" ht="12.75">
      <c r="S3273" s="7"/>
    </row>
    <row r="3274" ht="12.75">
      <c r="S3274" s="7"/>
    </row>
    <row r="3275" ht="12.75">
      <c r="S3275" s="7"/>
    </row>
    <row r="3276" ht="12.75">
      <c r="S3276" s="7"/>
    </row>
    <row r="3277" ht="12.75">
      <c r="S3277" s="7"/>
    </row>
    <row r="3278" ht="12.75">
      <c r="S3278" s="7"/>
    </row>
    <row r="3279" ht="12.75">
      <c r="S3279" s="7"/>
    </row>
    <row r="3280" ht="12.75">
      <c r="S3280" s="7"/>
    </row>
    <row r="3281" ht="12.75">
      <c r="S3281" s="7"/>
    </row>
    <row r="3282" ht="12.75">
      <c r="S3282" s="7"/>
    </row>
    <row r="3283" ht="12.75">
      <c r="S3283" s="7"/>
    </row>
    <row r="3284" ht="12.75">
      <c r="S3284" s="7"/>
    </row>
    <row r="3285" ht="12.75">
      <c r="S3285" s="7"/>
    </row>
    <row r="3286" ht="12.75">
      <c r="S3286" s="7"/>
    </row>
    <row r="3287" ht="12.75">
      <c r="S3287" s="7"/>
    </row>
    <row r="3288" ht="12.75">
      <c r="S3288" s="7"/>
    </row>
    <row r="3289" ht="12.75">
      <c r="S3289" s="7"/>
    </row>
    <row r="3290" ht="12.75">
      <c r="S3290" s="7"/>
    </row>
    <row r="3291" ht="12.75">
      <c r="S3291" s="7"/>
    </row>
    <row r="3292" ht="12.75">
      <c r="S3292" s="7"/>
    </row>
    <row r="3293" ht="12.75">
      <c r="S3293" s="7"/>
    </row>
    <row r="3294" ht="12.75">
      <c r="S3294" s="7"/>
    </row>
    <row r="3295" ht="12.75">
      <c r="S3295" s="7"/>
    </row>
    <row r="3296" ht="12.75">
      <c r="S3296" s="7"/>
    </row>
    <row r="3297" ht="12.75">
      <c r="S3297" s="7"/>
    </row>
    <row r="3298" ht="12.75">
      <c r="S3298" s="7"/>
    </row>
    <row r="3299" ht="12.75">
      <c r="S3299" s="7"/>
    </row>
    <row r="3300" ht="12.75">
      <c r="S3300" s="7"/>
    </row>
    <row r="3301" ht="12.75">
      <c r="S3301" s="7"/>
    </row>
    <row r="3302" ht="12.75">
      <c r="S3302" s="7"/>
    </row>
    <row r="3303" ht="12.75">
      <c r="S3303" s="7"/>
    </row>
    <row r="3304" ht="12.75">
      <c r="S3304" s="7"/>
    </row>
    <row r="3305" ht="12.75">
      <c r="S3305" s="7"/>
    </row>
    <row r="3306" ht="12.75">
      <c r="S3306" s="7"/>
    </row>
    <row r="3307" ht="12.75">
      <c r="S3307" s="7"/>
    </row>
    <row r="3308" ht="12.75">
      <c r="S3308" s="7"/>
    </row>
    <row r="3309" ht="12.75">
      <c r="S3309" s="7"/>
    </row>
    <row r="3310" ht="12.75">
      <c r="S3310" s="7"/>
    </row>
    <row r="3311" ht="12.75">
      <c r="S3311" s="7"/>
    </row>
    <row r="3312" ht="12.75">
      <c r="S3312" s="7"/>
    </row>
    <row r="3313" ht="12.75">
      <c r="S3313" s="7"/>
    </row>
    <row r="3314" ht="12.75">
      <c r="S3314" s="7"/>
    </row>
    <row r="3315" ht="12.75">
      <c r="S3315" s="7"/>
    </row>
    <row r="3316" ht="12.75">
      <c r="S3316" s="7"/>
    </row>
    <row r="3317" ht="12.75">
      <c r="S3317" s="7"/>
    </row>
    <row r="3318" ht="12.75">
      <c r="S3318" s="7"/>
    </row>
    <row r="3319" ht="12.75">
      <c r="S3319" s="7"/>
    </row>
    <row r="3320" ht="12.75">
      <c r="S3320" s="7"/>
    </row>
    <row r="3321" ht="12.75">
      <c r="S3321" s="7"/>
    </row>
    <row r="3322" ht="12.75">
      <c r="S3322" s="7"/>
    </row>
    <row r="3323" ht="12.75">
      <c r="S3323" s="7"/>
    </row>
    <row r="3324" ht="12.75">
      <c r="S3324" s="7"/>
    </row>
    <row r="3325" ht="12.75">
      <c r="S3325" s="7"/>
    </row>
    <row r="3326" ht="12.75">
      <c r="S3326" s="7"/>
    </row>
    <row r="3327" ht="12.75">
      <c r="S3327" s="7"/>
    </row>
    <row r="3328" ht="12.75">
      <c r="S3328" s="7"/>
    </row>
    <row r="3329" ht="12.75">
      <c r="S3329" s="7"/>
    </row>
    <row r="3330" ht="12.75">
      <c r="S3330" s="7"/>
    </row>
    <row r="3331" ht="12.75">
      <c r="S3331" s="7"/>
    </row>
    <row r="3332" ht="12.75">
      <c r="S3332" s="7"/>
    </row>
    <row r="3333" ht="12.75">
      <c r="S3333" s="7"/>
    </row>
    <row r="3334" ht="12.75">
      <c r="S3334" s="7"/>
    </row>
    <row r="3335" ht="12.75">
      <c r="S3335" s="7"/>
    </row>
    <row r="3336" ht="12.75">
      <c r="S3336" s="7"/>
    </row>
    <row r="3337" ht="12.75">
      <c r="S3337" s="7"/>
    </row>
    <row r="3338" ht="12.75">
      <c r="S3338" s="7"/>
    </row>
    <row r="3339" ht="12.75">
      <c r="S3339" s="7"/>
    </row>
    <row r="3340" ht="12.75">
      <c r="S3340" s="7"/>
    </row>
    <row r="3341" ht="12.75">
      <c r="S3341" s="7"/>
    </row>
    <row r="3342" ht="12.75">
      <c r="S3342" s="7"/>
    </row>
    <row r="3343" ht="12.75">
      <c r="S3343" s="7"/>
    </row>
    <row r="3344" ht="12.75">
      <c r="S3344" s="7"/>
    </row>
    <row r="3345" ht="12.75">
      <c r="S3345" s="7"/>
    </row>
    <row r="3346" ht="12.75">
      <c r="S3346" s="7"/>
    </row>
    <row r="3347" ht="12.75">
      <c r="S3347" s="7"/>
    </row>
    <row r="3348" ht="12.75">
      <c r="S3348" s="7"/>
    </row>
    <row r="3349" ht="12.75">
      <c r="S3349" s="7"/>
    </row>
    <row r="3350" ht="12.75">
      <c r="S3350" s="7"/>
    </row>
    <row r="3351" ht="12.75">
      <c r="S3351" s="7"/>
    </row>
    <row r="3352" ht="12.75">
      <c r="S3352" s="7"/>
    </row>
    <row r="3353" ht="12.75">
      <c r="S3353" s="7"/>
    </row>
    <row r="3354" ht="12.75">
      <c r="S3354" s="7"/>
    </row>
    <row r="3355" ht="12.75">
      <c r="S3355" s="7"/>
    </row>
    <row r="3356" ht="12.75">
      <c r="S3356" s="7"/>
    </row>
    <row r="3357" ht="12.75">
      <c r="S3357" s="7"/>
    </row>
    <row r="3358" ht="12.75">
      <c r="S3358" s="7"/>
    </row>
    <row r="3359" ht="12.75">
      <c r="S3359" s="7"/>
    </row>
    <row r="3360" ht="12.75">
      <c r="S3360" s="7"/>
    </row>
    <row r="3361" ht="12.75">
      <c r="S3361" s="7"/>
    </row>
    <row r="3362" ht="12.75">
      <c r="S3362" s="7"/>
    </row>
    <row r="3363" ht="12.75">
      <c r="S3363" s="7"/>
    </row>
    <row r="3364" ht="12.75">
      <c r="S3364" s="7"/>
    </row>
    <row r="3365" ht="12.75">
      <c r="S3365" s="7"/>
    </row>
    <row r="3366" ht="12.75">
      <c r="S3366" s="7"/>
    </row>
    <row r="3367" ht="12.75">
      <c r="S3367" s="7"/>
    </row>
    <row r="3368" ht="12.75">
      <c r="S3368" s="7"/>
    </row>
    <row r="3369" ht="12.75">
      <c r="S3369" s="7"/>
    </row>
    <row r="3370" ht="12.75">
      <c r="S3370" s="7"/>
    </row>
    <row r="3371" ht="12.75">
      <c r="S3371" s="7"/>
    </row>
    <row r="3372" ht="12.75">
      <c r="S3372" s="7"/>
    </row>
    <row r="3373" ht="12.75">
      <c r="S3373" s="7"/>
    </row>
    <row r="3374" ht="12.75">
      <c r="S3374" s="7"/>
    </row>
    <row r="3375" ht="12.75">
      <c r="S3375" s="7"/>
    </row>
    <row r="3376" ht="12.75">
      <c r="S3376" s="7"/>
    </row>
    <row r="3377" ht="12.75">
      <c r="S3377" s="7"/>
    </row>
    <row r="3378" ht="12.75">
      <c r="S3378" s="7"/>
    </row>
    <row r="3379" ht="12.75">
      <c r="S3379" s="7"/>
    </row>
    <row r="3380" ht="12.75">
      <c r="S3380" s="7"/>
    </row>
    <row r="3381" ht="12.75">
      <c r="S3381" s="7"/>
    </row>
    <row r="3382" ht="12.75">
      <c r="S3382" s="7"/>
    </row>
    <row r="3383" ht="12.75">
      <c r="S3383" s="7"/>
    </row>
    <row r="3384" ht="12.75">
      <c r="S3384" s="7"/>
    </row>
    <row r="3385" ht="12.75">
      <c r="S3385" s="7"/>
    </row>
    <row r="3386" ht="12.75">
      <c r="S3386" s="7"/>
    </row>
    <row r="3387" ht="12.75">
      <c r="S3387" s="7"/>
    </row>
    <row r="3388" ht="12.75">
      <c r="S3388" s="7"/>
    </row>
    <row r="3389" ht="12.75">
      <c r="S3389" s="7"/>
    </row>
    <row r="3390" ht="12.75">
      <c r="S3390" s="7"/>
    </row>
    <row r="3391" ht="12.75">
      <c r="S3391" s="7"/>
    </row>
    <row r="3392" ht="12.75">
      <c r="S3392" s="7"/>
    </row>
    <row r="3393" ht="12.75">
      <c r="S3393" s="7"/>
    </row>
    <row r="3394" ht="12.75">
      <c r="S3394" s="7"/>
    </row>
    <row r="3395" ht="12.75">
      <c r="S3395" s="7"/>
    </row>
    <row r="3396" ht="12.75">
      <c r="S3396" s="7"/>
    </row>
    <row r="3397" ht="12.75">
      <c r="S3397" s="7"/>
    </row>
    <row r="3398" ht="12.75">
      <c r="S3398" s="7"/>
    </row>
    <row r="3399" ht="12.75">
      <c r="S3399" s="7"/>
    </row>
    <row r="3400" ht="12.75">
      <c r="S3400" s="7"/>
    </row>
    <row r="3401" ht="12.75">
      <c r="S3401" s="7"/>
    </row>
    <row r="3402" ht="12.75">
      <c r="S3402" s="7"/>
    </row>
    <row r="3403" ht="12.75">
      <c r="S3403" s="7"/>
    </row>
    <row r="3404" ht="12.75">
      <c r="S3404" s="7"/>
    </row>
    <row r="3405" ht="12.75">
      <c r="S3405" s="7"/>
    </row>
    <row r="3406" ht="12.75">
      <c r="S3406" s="7"/>
    </row>
    <row r="3407" ht="12.75">
      <c r="S3407" s="7"/>
    </row>
    <row r="3408" ht="12.75">
      <c r="S3408" s="7"/>
    </row>
    <row r="3409" ht="12.75">
      <c r="S3409" s="7"/>
    </row>
    <row r="3410" ht="12.75">
      <c r="S3410" s="7"/>
    </row>
    <row r="3411" ht="12.75">
      <c r="S3411" s="7"/>
    </row>
    <row r="3412" ht="12.75">
      <c r="S3412" s="7"/>
    </row>
    <row r="3413" ht="12.75">
      <c r="S3413" s="7"/>
    </row>
    <row r="3414" ht="12.75">
      <c r="S3414" s="7"/>
    </row>
    <row r="3415" ht="12.75">
      <c r="S3415" s="7"/>
    </row>
    <row r="3416" ht="12.75">
      <c r="S3416" s="7"/>
    </row>
    <row r="3417" ht="12.75">
      <c r="S3417" s="7"/>
    </row>
    <row r="3418" ht="12.75">
      <c r="S3418" s="7"/>
    </row>
    <row r="3419" ht="12.75">
      <c r="S3419" s="7"/>
    </row>
    <row r="3420" ht="12.75">
      <c r="S3420" s="7"/>
    </row>
    <row r="3421" ht="12.75">
      <c r="S3421" s="7"/>
    </row>
    <row r="3422" ht="12.75">
      <c r="S3422" s="7"/>
    </row>
    <row r="3423" ht="12.75">
      <c r="S3423" s="7"/>
    </row>
    <row r="3424" ht="12.75">
      <c r="S3424" s="7"/>
    </row>
    <row r="3425" ht="12.75">
      <c r="S3425" s="7"/>
    </row>
    <row r="3426" ht="12.75">
      <c r="S3426" s="7"/>
    </row>
    <row r="3427" ht="12.75">
      <c r="S3427" s="7"/>
    </row>
    <row r="3428" ht="12.75">
      <c r="S3428" s="7"/>
    </row>
    <row r="3429" ht="12.75">
      <c r="S3429" s="7"/>
    </row>
    <row r="3430" ht="12.75">
      <c r="S3430" s="7"/>
    </row>
    <row r="3431" ht="12.75">
      <c r="S3431" s="7"/>
    </row>
    <row r="3432" ht="12.75">
      <c r="S3432" s="7"/>
    </row>
    <row r="3433" ht="12.75">
      <c r="S3433" s="7"/>
    </row>
    <row r="3434" ht="12.75">
      <c r="S3434" s="7"/>
    </row>
    <row r="3435" ht="12.75">
      <c r="S3435" s="7"/>
    </row>
    <row r="3436" ht="12.75">
      <c r="S3436" s="7"/>
    </row>
    <row r="3437" ht="12.75">
      <c r="S3437" s="7"/>
    </row>
    <row r="3438" ht="12.75">
      <c r="S3438" s="7"/>
    </row>
    <row r="3439" ht="12.75">
      <c r="S3439" s="7"/>
    </row>
    <row r="3440" ht="12.75">
      <c r="S3440" s="7"/>
    </row>
    <row r="3441" ht="12.75">
      <c r="S3441" s="7"/>
    </row>
    <row r="3442" ht="12.75">
      <c r="S3442" s="7"/>
    </row>
    <row r="3443" ht="12.75">
      <c r="S3443" s="7"/>
    </row>
    <row r="3444" ht="12.75">
      <c r="S3444" s="7"/>
    </row>
    <row r="3445" ht="12.75">
      <c r="S3445" s="7"/>
    </row>
    <row r="3446" ht="12.75">
      <c r="S3446" s="7"/>
    </row>
    <row r="3447" ht="12.75">
      <c r="S3447" s="7"/>
    </row>
    <row r="3448" ht="12.75">
      <c r="S3448" s="7"/>
    </row>
    <row r="3449" ht="12.75">
      <c r="S3449" s="7"/>
    </row>
    <row r="3450" ht="12.75">
      <c r="S3450" s="7"/>
    </row>
    <row r="3451" ht="12.75">
      <c r="S3451" s="7"/>
    </row>
    <row r="3452" ht="12.75">
      <c r="S3452" s="7"/>
    </row>
    <row r="3453" ht="12.75">
      <c r="S3453" s="7"/>
    </row>
    <row r="3454" ht="12.75">
      <c r="S3454" s="7"/>
    </row>
    <row r="3455" ht="12.75">
      <c r="S3455" s="7"/>
    </row>
    <row r="3456" ht="12.75">
      <c r="S3456" s="7"/>
    </row>
    <row r="3457" ht="12.75">
      <c r="S3457" s="7"/>
    </row>
    <row r="3458" ht="12.75">
      <c r="S3458" s="7"/>
    </row>
    <row r="3459" ht="12.75">
      <c r="S3459" s="7"/>
    </row>
    <row r="3460" ht="12.75">
      <c r="S3460" s="7"/>
    </row>
    <row r="3461" ht="12.75">
      <c r="S3461" s="7"/>
    </row>
    <row r="3462" ht="12.75">
      <c r="S3462" s="7"/>
    </row>
    <row r="3463" ht="12.75">
      <c r="S3463" s="7"/>
    </row>
    <row r="3464" ht="12.75">
      <c r="S3464" s="7"/>
    </row>
    <row r="3465" ht="12.75">
      <c r="S3465" s="7"/>
    </row>
    <row r="3466" ht="12.75">
      <c r="S3466" s="7"/>
    </row>
    <row r="3467" ht="12.75">
      <c r="S3467" s="7"/>
    </row>
    <row r="3468" ht="12.75">
      <c r="S3468" s="7"/>
    </row>
    <row r="3469" ht="12.75">
      <c r="S3469" s="7"/>
    </row>
    <row r="3470" ht="12.75">
      <c r="S3470" s="7"/>
    </row>
    <row r="3471" ht="12.75">
      <c r="S3471" s="7"/>
    </row>
    <row r="3472" ht="12.75">
      <c r="S3472" s="7"/>
    </row>
    <row r="3473" ht="12.75">
      <c r="S3473" s="7"/>
    </row>
    <row r="3474" ht="12.75">
      <c r="S3474" s="7"/>
    </row>
    <row r="3475" ht="12.75">
      <c r="S3475" s="7"/>
    </row>
    <row r="3476" ht="12.75">
      <c r="S3476" s="7"/>
    </row>
    <row r="3477" ht="12.75">
      <c r="S3477" s="7"/>
    </row>
    <row r="3478" ht="12.75">
      <c r="S3478" s="7"/>
    </row>
    <row r="3479" ht="12.75">
      <c r="S3479" s="7"/>
    </row>
    <row r="3480" ht="12.75">
      <c r="S3480" s="7"/>
    </row>
    <row r="3481" ht="12.75">
      <c r="S3481" s="7"/>
    </row>
    <row r="3482" ht="12.75">
      <c r="S3482" s="7"/>
    </row>
    <row r="3483" ht="12.75">
      <c r="S3483" s="7"/>
    </row>
    <row r="3484" ht="12.75">
      <c r="S3484" s="7"/>
    </row>
    <row r="3485" ht="12.75">
      <c r="S3485" s="7"/>
    </row>
    <row r="3486" ht="12.75">
      <c r="S3486" s="7"/>
    </row>
    <row r="3487" ht="12.75">
      <c r="S3487" s="7"/>
    </row>
    <row r="3488" ht="12.75">
      <c r="S3488" s="7"/>
    </row>
    <row r="3489" ht="12.75">
      <c r="S3489" s="7"/>
    </row>
    <row r="3490" ht="12.75">
      <c r="S3490" s="7"/>
    </row>
    <row r="3491" ht="12.75">
      <c r="S3491" s="7"/>
    </row>
    <row r="3492" ht="12.75">
      <c r="S3492" s="7"/>
    </row>
    <row r="3493" ht="12.75">
      <c r="S3493" s="7"/>
    </row>
    <row r="3494" ht="12.75">
      <c r="S3494" s="7"/>
    </row>
    <row r="3495" ht="12.75">
      <c r="S3495" s="7"/>
    </row>
    <row r="3496" ht="12.75">
      <c r="S3496" s="7"/>
    </row>
    <row r="3497" ht="12.75">
      <c r="S3497" s="7"/>
    </row>
    <row r="3498" ht="12.75">
      <c r="S3498" s="7"/>
    </row>
    <row r="3499" ht="12.75">
      <c r="S3499" s="7"/>
    </row>
    <row r="3500" ht="12.75">
      <c r="S3500" s="7"/>
    </row>
    <row r="3501" ht="12.75">
      <c r="S3501" s="7"/>
    </row>
    <row r="3502" ht="12.75">
      <c r="S3502" s="7"/>
    </row>
    <row r="3503" ht="12.75">
      <c r="S3503" s="7"/>
    </row>
    <row r="3504" ht="12.75">
      <c r="S3504" s="7"/>
    </row>
    <row r="3505" ht="12.75">
      <c r="S3505" s="7"/>
    </row>
    <row r="3506" ht="12.75">
      <c r="S3506" s="7"/>
    </row>
    <row r="3507" ht="12.75">
      <c r="S3507" s="7"/>
    </row>
    <row r="3508" ht="12.75">
      <c r="S3508" s="7"/>
    </row>
    <row r="3509" ht="12.75">
      <c r="S3509" s="7"/>
    </row>
    <row r="3510" ht="12.75">
      <c r="S3510" s="7"/>
    </row>
    <row r="3511" ht="12.75">
      <c r="S3511" s="7"/>
    </row>
    <row r="3512" ht="12.75">
      <c r="S3512" s="7"/>
    </row>
    <row r="3513" ht="12.75">
      <c r="S3513" s="7"/>
    </row>
    <row r="3514" ht="12.75">
      <c r="S3514" s="7"/>
    </row>
    <row r="3515" ht="12.75">
      <c r="S3515" s="7"/>
    </row>
    <row r="3516" ht="12.75">
      <c r="S3516" s="7"/>
    </row>
    <row r="3517" ht="12.75">
      <c r="S3517" s="7"/>
    </row>
    <row r="3518" ht="12.75">
      <c r="S3518" s="7"/>
    </row>
    <row r="3519" ht="12.75">
      <c r="S3519" s="7"/>
    </row>
    <row r="3520" ht="12.75">
      <c r="S3520" s="7"/>
    </row>
    <row r="3521" ht="12.75">
      <c r="S3521" s="7"/>
    </row>
    <row r="3522" ht="12.75">
      <c r="S3522" s="7"/>
    </row>
    <row r="3523" ht="12.75">
      <c r="S3523" s="7"/>
    </row>
    <row r="3524" ht="12.75">
      <c r="S3524" s="7"/>
    </row>
    <row r="3525" ht="12.75">
      <c r="S3525" s="7"/>
    </row>
    <row r="3526" ht="12.75">
      <c r="S3526" s="7"/>
    </row>
    <row r="3527" ht="12.75">
      <c r="S3527" s="7"/>
    </row>
    <row r="3528" ht="12.75">
      <c r="S3528" s="7"/>
    </row>
    <row r="3529" ht="12.75">
      <c r="S3529" s="7"/>
    </row>
    <row r="3530" ht="12.75">
      <c r="S3530" s="7"/>
    </row>
    <row r="3531" ht="12.75">
      <c r="S3531" s="7"/>
    </row>
    <row r="3532" ht="12.75">
      <c r="S3532" s="7"/>
    </row>
    <row r="3533" ht="12.75">
      <c r="S3533" s="7"/>
    </row>
    <row r="3534" ht="12.75">
      <c r="S3534" s="7"/>
    </row>
    <row r="3535" ht="12.75">
      <c r="S3535" s="7"/>
    </row>
    <row r="3536" ht="12.75">
      <c r="S3536" s="7"/>
    </row>
    <row r="3537" ht="12.75">
      <c r="S3537" s="7"/>
    </row>
    <row r="3538" ht="12.75">
      <c r="S3538" s="7"/>
    </row>
    <row r="3539" ht="12.75">
      <c r="S3539" s="7"/>
    </row>
    <row r="3540" ht="12.75">
      <c r="S3540" s="7"/>
    </row>
    <row r="3541" ht="12.75">
      <c r="S3541" s="7"/>
    </row>
    <row r="3542" ht="12.75">
      <c r="S3542" s="7"/>
    </row>
    <row r="3543" ht="12.75">
      <c r="S3543" s="7"/>
    </row>
    <row r="3544" ht="12.75">
      <c r="S3544" s="7"/>
    </row>
    <row r="3545" ht="12.75">
      <c r="S3545" s="7"/>
    </row>
    <row r="3546" ht="12.75">
      <c r="S3546" s="7"/>
    </row>
    <row r="3547" ht="12.75">
      <c r="S3547" s="7"/>
    </row>
    <row r="3548" ht="12.75">
      <c r="S3548" s="7"/>
    </row>
    <row r="3549" ht="12.75">
      <c r="S3549" s="7"/>
    </row>
    <row r="3550" ht="12.75">
      <c r="S3550" s="7"/>
    </row>
    <row r="3551" ht="12.75">
      <c r="S3551" s="7"/>
    </row>
    <row r="3552" ht="12.75">
      <c r="S3552" s="7"/>
    </row>
    <row r="3553" ht="12.75">
      <c r="S3553" s="7"/>
    </row>
    <row r="3554" ht="12.75">
      <c r="S3554" s="7"/>
    </row>
    <row r="3555" ht="12.75">
      <c r="S3555" s="7"/>
    </row>
    <row r="3556" ht="12.75">
      <c r="S3556" s="7"/>
    </row>
    <row r="3557" ht="12.75">
      <c r="S3557" s="7"/>
    </row>
    <row r="3558" ht="12.75">
      <c r="S3558" s="7"/>
    </row>
    <row r="3559" ht="12.75">
      <c r="S3559" s="7"/>
    </row>
    <row r="3560" ht="12.75">
      <c r="S3560" s="7"/>
    </row>
    <row r="3561" ht="12.75">
      <c r="S3561" s="7"/>
    </row>
    <row r="3562" ht="12.75">
      <c r="S3562" s="7"/>
    </row>
    <row r="3563" ht="12.75">
      <c r="S3563" s="7"/>
    </row>
    <row r="3564" ht="12.75">
      <c r="S3564" s="7"/>
    </row>
    <row r="3565" ht="12.75">
      <c r="S3565" s="7"/>
    </row>
    <row r="3566" ht="12.75">
      <c r="S3566" s="7"/>
    </row>
    <row r="3567" ht="12.75">
      <c r="S3567" s="7"/>
    </row>
    <row r="3568" ht="12.75">
      <c r="S3568" s="7"/>
    </row>
    <row r="3569" ht="12.75">
      <c r="S3569" s="7"/>
    </row>
    <row r="3570" ht="12.75">
      <c r="S3570" s="7"/>
    </row>
    <row r="3571" ht="12.75">
      <c r="S3571" s="7"/>
    </row>
    <row r="3572" ht="12.75">
      <c r="S3572" s="7"/>
    </row>
    <row r="3573" ht="12.75">
      <c r="S3573" s="7"/>
    </row>
    <row r="3574" ht="12.75">
      <c r="S3574" s="7"/>
    </row>
    <row r="3575" ht="12.75">
      <c r="S3575" s="7"/>
    </row>
    <row r="3576" ht="12.75">
      <c r="S3576" s="7"/>
    </row>
    <row r="3577" ht="12.75">
      <c r="S3577" s="7"/>
    </row>
    <row r="3578" ht="12.75">
      <c r="S3578" s="7"/>
    </row>
    <row r="3579" ht="12.75">
      <c r="S3579" s="7"/>
    </row>
    <row r="3580" ht="12.75">
      <c r="S3580" s="7"/>
    </row>
    <row r="3581" ht="12.75">
      <c r="S3581" s="7"/>
    </row>
    <row r="3582" ht="12.75">
      <c r="S3582" s="7"/>
    </row>
    <row r="3583" ht="12.75">
      <c r="S3583" s="7"/>
    </row>
    <row r="3584" ht="12.75">
      <c r="S3584" s="7"/>
    </row>
    <row r="3585" ht="12.75">
      <c r="S3585" s="7"/>
    </row>
    <row r="3586" ht="12.75">
      <c r="S3586" s="7"/>
    </row>
    <row r="3587" ht="12.75">
      <c r="S3587" s="7"/>
    </row>
    <row r="3588" ht="12.75">
      <c r="S3588" s="7"/>
    </row>
    <row r="3589" ht="12.75">
      <c r="S3589" s="7"/>
    </row>
    <row r="3590" ht="12.75">
      <c r="S3590" s="7"/>
    </row>
    <row r="3591" ht="12.75">
      <c r="S3591" s="7"/>
    </row>
    <row r="3592" ht="12.75">
      <c r="S3592" s="7"/>
    </row>
    <row r="3593" ht="12.75">
      <c r="S3593" s="7"/>
    </row>
    <row r="3594" ht="12.75">
      <c r="S3594" s="7"/>
    </row>
    <row r="3595" ht="12.75">
      <c r="S3595" s="7"/>
    </row>
    <row r="3596" ht="12.75">
      <c r="S3596" s="7"/>
    </row>
    <row r="3597" ht="12.75">
      <c r="S3597" s="7"/>
    </row>
    <row r="3598" ht="12.75">
      <c r="S3598" s="7"/>
    </row>
    <row r="3599" ht="12.75">
      <c r="S3599" s="7"/>
    </row>
    <row r="3600" ht="12.75">
      <c r="S3600" s="7"/>
    </row>
    <row r="3601" ht="12.75">
      <c r="S3601" s="7"/>
    </row>
    <row r="3602" ht="12.75">
      <c r="S3602" s="7"/>
    </row>
    <row r="3603" ht="12.75">
      <c r="S3603" s="7"/>
    </row>
    <row r="3604" ht="12.75">
      <c r="S3604" s="7"/>
    </row>
    <row r="3605" ht="12.75">
      <c r="S3605" s="7"/>
    </row>
    <row r="3606" ht="12.75">
      <c r="S3606" s="7"/>
    </row>
    <row r="3607" ht="12.75">
      <c r="S3607" s="7"/>
    </row>
    <row r="3608" ht="12.75">
      <c r="S3608" s="7"/>
    </row>
    <row r="3609" ht="12.75">
      <c r="S3609" s="7"/>
    </row>
    <row r="3610" ht="12.75">
      <c r="S3610" s="7"/>
    </row>
    <row r="3611" ht="12.75">
      <c r="S3611" s="7"/>
    </row>
    <row r="3612" ht="12.75">
      <c r="S3612" s="7"/>
    </row>
    <row r="3613" ht="12.75">
      <c r="S3613" s="7"/>
    </row>
    <row r="3614" ht="12.75">
      <c r="S3614" s="7"/>
    </row>
    <row r="3615" ht="12.75">
      <c r="S3615" s="7"/>
    </row>
    <row r="3616" ht="12.75">
      <c r="S3616" s="7"/>
    </row>
    <row r="3617" ht="12.75">
      <c r="S3617" s="7"/>
    </row>
    <row r="3618" ht="12.75">
      <c r="S3618" s="7"/>
    </row>
    <row r="3619" ht="12.75">
      <c r="S3619" s="7"/>
    </row>
    <row r="3620" ht="12.75">
      <c r="S3620" s="7"/>
    </row>
    <row r="3621" ht="12.75">
      <c r="S3621" s="7"/>
    </row>
    <row r="3622" ht="12.75">
      <c r="S3622" s="7"/>
    </row>
    <row r="3623" ht="12.75">
      <c r="S3623" s="7"/>
    </row>
    <row r="3624" ht="12.75">
      <c r="S3624" s="7"/>
    </row>
    <row r="3625" ht="12.75">
      <c r="S3625" s="7"/>
    </row>
    <row r="3626" ht="12.75">
      <c r="S3626" s="7"/>
    </row>
    <row r="3627" ht="12.75">
      <c r="S3627" s="7"/>
    </row>
    <row r="3628" ht="12.75">
      <c r="S3628" s="7"/>
    </row>
    <row r="3629" ht="12.75">
      <c r="S3629" s="7"/>
    </row>
    <row r="3630" ht="12.75">
      <c r="S3630" s="7"/>
    </row>
    <row r="3631" ht="12.75">
      <c r="S3631" s="7"/>
    </row>
    <row r="3632" ht="12.75">
      <c r="S3632" s="7"/>
    </row>
    <row r="3633" ht="12.75">
      <c r="S3633" s="7"/>
    </row>
    <row r="3634" ht="12.75">
      <c r="S3634" s="7"/>
    </row>
    <row r="3635" ht="12.75">
      <c r="S3635" s="7"/>
    </row>
    <row r="3636" ht="12.75">
      <c r="S3636" s="7"/>
    </row>
    <row r="3637" ht="12.75">
      <c r="S3637" s="7"/>
    </row>
    <row r="3638" ht="12.75">
      <c r="S3638" s="7"/>
    </row>
    <row r="3639" ht="12.75">
      <c r="S3639" s="7"/>
    </row>
    <row r="3640" ht="12.75">
      <c r="S3640" s="7"/>
    </row>
    <row r="3641" ht="12.75">
      <c r="S3641" s="7"/>
    </row>
    <row r="3642" ht="12.75">
      <c r="S3642" s="7"/>
    </row>
    <row r="3643" ht="12.75">
      <c r="S3643" s="7"/>
    </row>
    <row r="3644" ht="12.75">
      <c r="S3644" s="7"/>
    </row>
    <row r="3645" ht="12.75">
      <c r="S3645" s="7"/>
    </row>
    <row r="3646" ht="12.75">
      <c r="S3646" s="7"/>
    </row>
    <row r="3647" ht="12.75">
      <c r="S3647" s="7"/>
    </row>
    <row r="3648" ht="12.75">
      <c r="S3648" s="7"/>
    </row>
    <row r="3649" ht="12.75">
      <c r="S3649" s="7"/>
    </row>
    <row r="3650" ht="12.75">
      <c r="S3650" s="7"/>
    </row>
    <row r="3651" ht="12.75">
      <c r="S3651" s="7"/>
    </row>
    <row r="3652" ht="12.75">
      <c r="S3652" s="7"/>
    </row>
    <row r="3653" ht="12.75">
      <c r="S3653" s="7"/>
    </row>
    <row r="3654" ht="12.75">
      <c r="S3654" s="7"/>
    </row>
    <row r="3655" ht="12.75">
      <c r="S3655" s="7"/>
    </row>
    <row r="3656" ht="12.75">
      <c r="S3656" s="7"/>
    </row>
    <row r="3657" ht="12.75">
      <c r="S3657" s="7"/>
    </row>
    <row r="3658" ht="12.75">
      <c r="S3658" s="7"/>
    </row>
    <row r="3659" ht="12.75">
      <c r="S3659" s="7"/>
    </row>
    <row r="3660" ht="12.75">
      <c r="S3660" s="7"/>
    </row>
    <row r="3661" ht="12.75">
      <c r="S3661" s="7"/>
    </row>
    <row r="3662" ht="12.75">
      <c r="S3662" s="7"/>
    </row>
    <row r="3663" ht="12.75">
      <c r="S3663" s="7"/>
    </row>
    <row r="3664" ht="12.75">
      <c r="S3664" s="7"/>
    </row>
    <row r="3665" ht="12.75">
      <c r="S3665" s="7"/>
    </row>
    <row r="3666" ht="12.75">
      <c r="S3666" s="7"/>
    </row>
    <row r="3667" ht="12.75">
      <c r="S3667" s="7"/>
    </row>
    <row r="3668" ht="12.75">
      <c r="S3668" s="7"/>
    </row>
    <row r="3669" ht="12.75">
      <c r="S3669" s="7"/>
    </row>
    <row r="3670" ht="12.75">
      <c r="S3670" s="7"/>
    </row>
    <row r="3671" ht="12.75">
      <c r="S3671" s="7"/>
    </row>
    <row r="3672" ht="12.75">
      <c r="S3672" s="7"/>
    </row>
    <row r="3673" ht="12.75">
      <c r="S3673" s="7"/>
    </row>
    <row r="3674" ht="12.75">
      <c r="S3674" s="7"/>
    </row>
    <row r="3675" ht="12.75">
      <c r="S3675" s="7"/>
    </row>
    <row r="3676" ht="12.75">
      <c r="S3676" s="7"/>
    </row>
    <row r="3677" ht="12.75">
      <c r="S3677" s="7"/>
    </row>
    <row r="3678" ht="12.75">
      <c r="S3678" s="7"/>
    </row>
    <row r="3679" ht="12.75">
      <c r="S3679" s="7"/>
    </row>
    <row r="3680" ht="12.75">
      <c r="S3680" s="7"/>
    </row>
    <row r="3681" ht="12.75">
      <c r="S3681" s="7"/>
    </row>
    <row r="3682" ht="12.75">
      <c r="S3682" s="7"/>
    </row>
    <row r="3683" ht="12.75">
      <c r="S3683" s="7"/>
    </row>
    <row r="3684" ht="12.75">
      <c r="S3684" s="7"/>
    </row>
    <row r="3685" ht="12.75">
      <c r="S3685" s="7"/>
    </row>
    <row r="3686" ht="12.75">
      <c r="S3686" s="7"/>
    </row>
    <row r="3687" ht="12.75">
      <c r="S3687" s="7"/>
    </row>
    <row r="3688" ht="12.75">
      <c r="S3688" s="7"/>
    </row>
    <row r="3689" ht="12.75">
      <c r="S3689" s="7"/>
    </row>
    <row r="3690" ht="12.75">
      <c r="S3690" s="7"/>
    </row>
    <row r="3691" ht="12.75">
      <c r="S3691" s="7"/>
    </row>
    <row r="3692" ht="12.75">
      <c r="S3692" s="7"/>
    </row>
    <row r="3693" ht="12.75">
      <c r="S3693" s="7"/>
    </row>
    <row r="3694" ht="12.75">
      <c r="S3694" s="7"/>
    </row>
    <row r="3695" ht="12.75">
      <c r="S3695" s="7"/>
    </row>
    <row r="3696" ht="12.75">
      <c r="S3696" s="7"/>
    </row>
    <row r="3697" ht="12.75">
      <c r="S3697" s="7"/>
    </row>
    <row r="3698" ht="12.75">
      <c r="S3698" s="7"/>
    </row>
    <row r="3699" ht="12.75">
      <c r="S3699" s="7"/>
    </row>
    <row r="3700" ht="12.75">
      <c r="S3700" s="7"/>
    </row>
    <row r="3701" ht="12.75">
      <c r="S3701" s="7"/>
    </row>
    <row r="3702" ht="12.75">
      <c r="S3702" s="7"/>
    </row>
    <row r="3703" ht="12.75">
      <c r="S3703" s="7"/>
    </row>
    <row r="3704" ht="12.75">
      <c r="S3704" s="7"/>
    </row>
    <row r="3705" ht="12.75">
      <c r="S3705" s="7"/>
    </row>
    <row r="3706" ht="12.75">
      <c r="S3706" s="7"/>
    </row>
    <row r="3707" ht="12.75">
      <c r="S3707" s="7"/>
    </row>
    <row r="3708" ht="12.75">
      <c r="S3708" s="7"/>
    </row>
    <row r="3709" ht="12.75">
      <c r="S3709" s="7"/>
    </row>
    <row r="3710" ht="12.75">
      <c r="S3710" s="7"/>
    </row>
    <row r="3711" ht="12.75">
      <c r="S3711" s="7"/>
    </row>
    <row r="3712" ht="12.75">
      <c r="S3712" s="7"/>
    </row>
    <row r="3713" ht="12.75">
      <c r="S3713" s="7"/>
    </row>
    <row r="3714" ht="12.75">
      <c r="S3714" s="7"/>
    </row>
    <row r="3715" ht="12.75">
      <c r="S3715" s="7"/>
    </row>
    <row r="3716" ht="12.75">
      <c r="S3716" s="7"/>
    </row>
    <row r="3717" ht="12.75">
      <c r="S3717" s="7"/>
    </row>
    <row r="3718" ht="12.75">
      <c r="S3718" s="7"/>
    </row>
    <row r="3719" ht="12.75">
      <c r="S3719" s="7"/>
    </row>
    <row r="3720" ht="12.75">
      <c r="S3720" s="7"/>
    </row>
    <row r="3721" ht="12.75">
      <c r="S3721" s="7"/>
    </row>
    <row r="3722" ht="12.75">
      <c r="S3722" s="7"/>
    </row>
    <row r="3723" ht="12.75">
      <c r="S3723" s="7"/>
    </row>
    <row r="3724" ht="12.75">
      <c r="S3724" s="7"/>
    </row>
    <row r="3725" ht="12.75">
      <c r="S3725" s="7"/>
    </row>
    <row r="3726" ht="12.75">
      <c r="S3726" s="7"/>
    </row>
    <row r="3727" ht="12.75">
      <c r="S3727" s="7"/>
    </row>
    <row r="3728" ht="12.75">
      <c r="S3728" s="7"/>
    </row>
    <row r="3729" ht="12.75">
      <c r="S3729" s="7"/>
    </row>
    <row r="3730" ht="12.75">
      <c r="S3730" s="7"/>
    </row>
    <row r="3731" ht="12.75">
      <c r="S3731" s="7"/>
    </row>
    <row r="3732" ht="12.75">
      <c r="S3732" s="7"/>
    </row>
    <row r="3733" ht="12.75">
      <c r="S3733" s="7"/>
    </row>
    <row r="3734" ht="12.75">
      <c r="S3734" s="7"/>
    </row>
    <row r="3735" ht="12.75">
      <c r="S3735" s="7"/>
    </row>
    <row r="3736" ht="12.75">
      <c r="S3736" s="7"/>
    </row>
    <row r="3737" ht="12.75">
      <c r="S3737" s="7"/>
    </row>
    <row r="3738" ht="12.75">
      <c r="S3738" s="7"/>
    </row>
    <row r="3739" ht="12.75">
      <c r="S3739" s="7"/>
    </row>
    <row r="3740" ht="12.75">
      <c r="S3740" s="7"/>
    </row>
    <row r="3741" ht="12.75">
      <c r="S3741" s="7"/>
    </row>
    <row r="3742" ht="12.75">
      <c r="S3742" s="7"/>
    </row>
    <row r="3743" ht="12.75">
      <c r="S3743" s="7"/>
    </row>
    <row r="3744" ht="12.75">
      <c r="S3744" s="7"/>
    </row>
    <row r="3745" ht="12.75">
      <c r="S3745" s="7"/>
    </row>
    <row r="3746" ht="12.75">
      <c r="S3746" s="7"/>
    </row>
    <row r="3747" ht="12.75">
      <c r="S3747" s="7"/>
    </row>
    <row r="3748" ht="12.75">
      <c r="S3748" s="7"/>
    </row>
    <row r="3749" ht="12.75">
      <c r="S3749" s="7"/>
    </row>
    <row r="3750" ht="12.75">
      <c r="S3750" s="7"/>
    </row>
    <row r="3751" ht="12.75">
      <c r="S3751" s="7"/>
    </row>
    <row r="3752" ht="12.75">
      <c r="S3752" s="7"/>
    </row>
    <row r="3753" ht="12.75">
      <c r="S3753" s="7"/>
    </row>
    <row r="3754" ht="12.75">
      <c r="S3754" s="7"/>
    </row>
    <row r="3755" ht="12.75">
      <c r="S3755" s="7"/>
    </row>
    <row r="3756" ht="12.75">
      <c r="S3756" s="7"/>
    </row>
    <row r="3757" ht="12.75">
      <c r="S3757" s="7"/>
    </row>
    <row r="3758" ht="12.75">
      <c r="S3758" s="7"/>
    </row>
    <row r="3759" ht="12.75">
      <c r="S3759" s="7"/>
    </row>
    <row r="3760" ht="12.75">
      <c r="S3760" s="7"/>
    </row>
    <row r="3761" ht="12.75">
      <c r="S3761" s="7"/>
    </row>
    <row r="3762" ht="12.75">
      <c r="S3762" s="7"/>
    </row>
    <row r="3763" ht="12.75">
      <c r="S3763" s="7"/>
    </row>
    <row r="3764" ht="12.75">
      <c r="S3764" s="7"/>
    </row>
    <row r="3765" ht="12.75">
      <c r="S3765" s="7"/>
    </row>
    <row r="3766" ht="12.75">
      <c r="S3766" s="7"/>
    </row>
    <row r="3767" ht="12.75">
      <c r="S3767" s="7"/>
    </row>
    <row r="3768" ht="12.75">
      <c r="S3768" s="7"/>
    </row>
    <row r="3769" ht="12.75">
      <c r="S3769" s="7"/>
    </row>
    <row r="3770" ht="12.75">
      <c r="S3770" s="7"/>
    </row>
    <row r="3771" ht="12.75">
      <c r="S3771" s="7"/>
    </row>
    <row r="3772" ht="12.75">
      <c r="S3772" s="7"/>
    </row>
    <row r="3773" ht="12.75">
      <c r="S3773" s="7"/>
    </row>
    <row r="3774" ht="12.75">
      <c r="S3774" s="7"/>
    </row>
    <row r="3775" ht="12.75">
      <c r="S3775" s="7"/>
    </row>
    <row r="3776" ht="12.75">
      <c r="S3776" s="7"/>
    </row>
    <row r="3777" ht="12.75">
      <c r="S3777" s="7"/>
    </row>
    <row r="3778" ht="12.75">
      <c r="S3778" s="7"/>
    </row>
    <row r="3779" ht="12.75">
      <c r="S3779" s="7"/>
    </row>
    <row r="3780" ht="12.75">
      <c r="S3780" s="7"/>
    </row>
    <row r="3781" ht="12.75">
      <c r="S3781" s="7"/>
    </row>
    <row r="3782" ht="12.75">
      <c r="S3782" s="7"/>
    </row>
    <row r="3783" ht="12.75">
      <c r="S3783" s="7"/>
    </row>
    <row r="3784" ht="12.75">
      <c r="S3784" s="7"/>
    </row>
    <row r="3785" ht="12.75">
      <c r="S3785" s="7"/>
    </row>
    <row r="3786" ht="12.75">
      <c r="S3786" s="7"/>
    </row>
    <row r="3787" ht="12.75">
      <c r="S3787" s="7"/>
    </row>
    <row r="3788" ht="12.75">
      <c r="S3788" s="7"/>
    </row>
    <row r="3789" ht="12.75">
      <c r="S3789" s="7"/>
    </row>
    <row r="3790" ht="12.75">
      <c r="S3790" s="7"/>
    </row>
    <row r="3791" ht="12.75">
      <c r="S3791" s="7"/>
    </row>
    <row r="3792" ht="12.75">
      <c r="S3792" s="7"/>
    </row>
    <row r="3793" ht="12.75">
      <c r="S3793" s="7"/>
    </row>
    <row r="3794" ht="12.75">
      <c r="S3794" s="7"/>
    </row>
    <row r="3795" ht="12.75">
      <c r="S3795" s="7"/>
    </row>
    <row r="3796" ht="12.75">
      <c r="S3796" s="7"/>
    </row>
    <row r="3797" ht="12.75">
      <c r="S3797" s="7"/>
    </row>
    <row r="3798" ht="12.75">
      <c r="S3798" s="7"/>
    </row>
    <row r="3799" ht="12.75">
      <c r="S3799" s="7"/>
    </row>
    <row r="3800" ht="12.75">
      <c r="S3800" s="7"/>
    </row>
    <row r="3801" ht="12.75">
      <c r="S3801" s="7"/>
    </row>
    <row r="3802" ht="12.75">
      <c r="S3802" s="7"/>
    </row>
    <row r="3803" ht="12.75">
      <c r="S3803" s="7"/>
    </row>
    <row r="3804" ht="12.75">
      <c r="S3804" s="7"/>
    </row>
    <row r="3805" ht="12.75">
      <c r="S3805" s="7"/>
    </row>
    <row r="3806" ht="12.75">
      <c r="S3806" s="7"/>
    </row>
    <row r="3807" ht="12.75">
      <c r="S3807" s="7"/>
    </row>
    <row r="3808" ht="12.75">
      <c r="S3808" s="7"/>
    </row>
    <row r="3809" ht="12.75">
      <c r="S3809" s="7"/>
    </row>
    <row r="3810" ht="12.75">
      <c r="S3810" s="7"/>
    </row>
    <row r="3811" ht="12.75">
      <c r="S3811" s="7"/>
    </row>
    <row r="3812" ht="12.75">
      <c r="S3812" s="7"/>
    </row>
    <row r="3813" ht="12.75">
      <c r="S3813" s="7"/>
    </row>
    <row r="3814" ht="12.75">
      <c r="S3814" s="7"/>
    </row>
    <row r="3815" ht="12.75">
      <c r="S3815" s="7"/>
    </row>
    <row r="3816" ht="12.75">
      <c r="S3816" s="7"/>
    </row>
    <row r="3817" ht="12.75">
      <c r="S3817" s="7"/>
    </row>
    <row r="3818" ht="12.75">
      <c r="S3818" s="7"/>
    </row>
    <row r="3819" ht="12.75">
      <c r="S3819" s="7"/>
    </row>
    <row r="3820" ht="12.75">
      <c r="S3820" s="7"/>
    </row>
    <row r="3821" ht="12.75">
      <c r="S3821" s="7"/>
    </row>
    <row r="3822" ht="12.75">
      <c r="S3822" s="7"/>
    </row>
    <row r="3823" ht="12.75">
      <c r="S3823" s="7"/>
    </row>
    <row r="3824" ht="12.75">
      <c r="S3824" s="7"/>
    </row>
    <row r="3825" ht="12.75">
      <c r="S3825" s="7"/>
    </row>
    <row r="3826" ht="12.75">
      <c r="S3826" s="7"/>
    </row>
    <row r="3827" ht="12.75">
      <c r="S3827" s="7"/>
    </row>
    <row r="3828" ht="12.75">
      <c r="S3828" s="7"/>
    </row>
    <row r="3829" ht="12.75">
      <c r="S3829" s="7"/>
    </row>
    <row r="3830" ht="12.75">
      <c r="S3830" s="7"/>
    </row>
    <row r="3831" ht="12.75">
      <c r="S3831" s="7"/>
    </row>
    <row r="3832" ht="12.75">
      <c r="S3832" s="7"/>
    </row>
    <row r="3833" ht="12.75">
      <c r="S3833" s="7"/>
    </row>
    <row r="3834" ht="12.75">
      <c r="S3834" s="7"/>
    </row>
    <row r="3835" ht="12.75">
      <c r="S3835" s="7"/>
    </row>
    <row r="3836" ht="12.75">
      <c r="S3836" s="7"/>
    </row>
    <row r="3837" ht="12.75">
      <c r="S3837" s="7"/>
    </row>
    <row r="3838" ht="12.75">
      <c r="S3838" s="7"/>
    </row>
    <row r="3839" ht="12.75">
      <c r="S3839" s="7"/>
    </row>
    <row r="3840" ht="12.75">
      <c r="S3840" s="7"/>
    </row>
    <row r="3841" ht="12.75">
      <c r="S3841" s="7"/>
    </row>
    <row r="3842" ht="12.75">
      <c r="S3842" s="7"/>
    </row>
    <row r="3843" ht="12.75">
      <c r="S3843" s="7"/>
    </row>
    <row r="3844" ht="12.75">
      <c r="S3844" s="7"/>
    </row>
    <row r="3845" ht="12.75">
      <c r="S3845" s="7"/>
    </row>
    <row r="3846" ht="12.75">
      <c r="S3846" s="7"/>
    </row>
    <row r="3847" ht="12.75">
      <c r="S3847" s="7"/>
    </row>
    <row r="3848" ht="12.75">
      <c r="S3848" s="7"/>
    </row>
    <row r="3849" ht="12.75">
      <c r="S3849" s="7"/>
    </row>
    <row r="3850" ht="12.75">
      <c r="S3850" s="7"/>
    </row>
    <row r="3851" ht="12.75">
      <c r="S3851" s="7"/>
    </row>
    <row r="3852" ht="12.75">
      <c r="S3852" s="7"/>
    </row>
    <row r="3853" ht="12.75">
      <c r="S3853" s="7"/>
    </row>
    <row r="3854" ht="12.75">
      <c r="S3854" s="7"/>
    </row>
    <row r="3855" ht="12.75">
      <c r="S3855" s="7"/>
    </row>
    <row r="3856" ht="12.75">
      <c r="S3856" s="7"/>
    </row>
    <row r="3857" ht="12.75">
      <c r="S3857" s="7"/>
    </row>
    <row r="3858" ht="12.75">
      <c r="S3858" s="7"/>
    </row>
    <row r="3859" ht="12.75">
      <c r="S3859" s="7"/>
    </row>
    <row r="3860" ht="12.75">
      <c r="S3860" s="7"/>
    </row>
    <row r="3861" ht="12.75">
      <c r="S3861" s="7"/>
    </row>
    <row r="3862" ht="12.75">
      <c r="S3862" s="7"/>
    </row>
    <row r="3863" ht="12.75">
      <c r="S3863" s="7"/>
    </row>
    <row r="3864" ht="12.75">
      <c r="S3864" s="7"/>
    </row>
    <row r="3865" ht="12.75">
      <c r="S3865" s="7"/>
    </row>
    <row r="3866" ht="12.75">
      <c r="S3866" s="7"/>
    </row>
    <row r="3867" ht="12.75">
      <c r="S3867" s="7"/>
    </row>
    <row r="3868" ht="12.75">
      <c r="S3868" s="7"/>
    </row>
    <row r="3869" ht="12.75">
      <c r="S3869" s="7"/>
    </row>
    <row r="3870" ht="12.75">
      <c r="S3870" s="7"/>
    </row>
    <row r="3871" ht="12.75">
      <c r="S3871" s="7"/>
    </row>
    <row r="3872" ht="12.75">
      <c r="S3872" s="7"/>
    </row>
    <row r="3873" ht="12.75">
      <c r="S3873" s="7"/>
    </row>
    <row r="3874" ht="12.75">
      <c r="S3874" s="7"/>
    </row>
    <row r="3875" ht="12.75">
      <c r="S3875" s="7"/>
    </row>
    <row r="3876" ht="12.75">
      <c r="S3876" s="7"/>
    </row>
    <row r="3877" ht="12.75">
      <c r="S3877" s="7"/>
    </row>
    <row r="3878" ht="12.75">
      <c r="S3878" s="7"/>
    </row>
    <row r="3879" ht="12.75">
      <c r="S3879" s="7"/>
    </row>
    <row r="3880" ht="12.75">
      <c r="S3880" s="7"/>
    </row>
    <row r="3881" ht="12.75">
      <c r="S3881" s="7"/>
    </row>
    <row r="3882" ht="12.75">
      <c r="S3882" s="7"/>
    </row>
    <row r="3883" ht="12.75">
      <c r="S3883" s="7"/>
    </row>
    <row r="3884" ht="12.75">
      <c r="S3884" s="7"/>
    </row>
    <row r="3885" ht="12.75">
      <c r="S3885" s="7"/>
    </row>
    <row r="3886" ht="12.75">
      <c r="S3886" s="7"/>
    </row>
    <row r="3887" ht="12.75">
      <c r="S3887" s="7"/>
    </row>
    <row r="3888" ht="12.75">
      <c r="S3888" s="7"/>
    </row>
    <row r="3889" ht="12.75">
      <c r="S3889" s="7"/>
    </row>
    <row r="3890" ht="12.75">
      <c r="S3890" s="7"/>
    </row>
    <row r="3891" ht="12.75">
      <c r="S3891" s="7"/>
    </row>
    <row r="3892" ht="12.75">
      <c r="S3892" s="7"/>
    </row>
    <row r="3893" ht="12.75">
      <c r="S3893" s="7"/>
    </row>
    <row r="3894" ht="12.75">
      <c r="S3894" s="7"/>
    </row>
    <row r="3895" ht="12.75">
      <c r="S3895" s="7"/>
    </row>
    <row r="3896" ht="12.75">
      <c r="S3896" s="7"/>
    </row>
    <row r="3897" ht="12.75">
      <c r="S3897" s="7"/>
    </row>
    <row r="3898" ht="12.75">
      <c r="S3898" s="7"/>
    </row>
    <row r="3899" ht="12.75">
      <c r="S3899" s="7"/>
    </row>
    <row r="3900" ht="12.75">
      <c r="S3900" s="7"/>
    </row>
    <row r="3901" ht="12.75">
      <c r="S3901" s="7"/>
    </row>
    <row r="3902" ht="12.75">
      <c r="S3902" s="7"/>
    </row>
    <row r="3903" ht="12.75">
      <c r="S3903" s="7"/>
    </row>
    <row r="3904" ht="12.75">
      <c r="S3904" s="7"/>
    </row>
    <row r="3905" ht="12.75">
      <c r="S3905" s="7"/>
    </row>
    <row r="3906" ht="12.75">
      <c r="S3906" s="7"/>
    </row>
    <row r="3907" ht="12.75">
      <c r="S3907" s="7"/>
    </row>
    <row r="3908" ht="12.75">
      <c r="S3908" s="7"/>
    </row>
    <row r="3909" ht="12.75">
      <c r="S3909" s="7"/>
    </row>
    <row r="3910" ht="12.75">
      <c r="S3910" s="7"/>
    </row>
    <row r="3911" ht="12.75">
      <c r="S3911" s="7"/>
    </row>
    <row r="3912" ht="12.75">
      <c r="S3912" s="7"/>
    </row>
    <row r="3913" ht="12.75">
      <c r="S3913" s="7"/>
    </row>
    <row r="3914" ht="12.75">
      <c r="S3914" s="7"/>
    </row>
    <row r="3915" ht="12.75">
      <c r="S3915" s="7"/>
    </row>
    <row r="3916" ht="12.75">
      <c r="S3916" s="7"/>
    </row>
    <row r="3917" ht="12.75">
      <c r="S3917" s="7"/>
    </row>
    <row r="3918" ht="12.75">
      <c r="S3918" s="7"/>
    </row>
    <row r="3919" ht="12.75">
      <c r="S3919" s="7"/>
    </row>
    <row r="3920" ht="12.75">
      <c r="S3920" s="7"/>
    </row>
    <row r="3921" ht="12.75">
      <c r="S3921" s="7"/>
    </row>
    <row r="3922" ht="12.75">
      <c r="S3922" s="7"/>
    </row>
    <row r="3923" ht="12.75">
      <c r="S3923" s="7"/>
    </row>
    <row r="3924" ht="12.75">
      <c r="S3924" s="7"/>
    </row>
    <row r="3925" ht="12.75">
      <c r="S3925" s="7"/>
    </row>
    <row r="3926" ht="12.75">
      <c r="S3926" s="7"/>
    </row>
    <row r="3927" ht="12.75">
      <c r="S3927" s="7"/>
    </row>
    <row r="3928" ht="12.75">
      <c r="S3928" s="7"/>
    </row>
    <row r="3929" ht="12.75">
      <c r="S3929" s="7"/>
    </row>
    <row r="3930" ht="12.75">
      <c r="S3930" s="7"/>
    </row>
    <row r="3931" ht="12.75">
      <c r="S3931" s="7"/>
    </row>
    <row r="3932" ht="12.75">
      <c r="S3932" s="7"/>
    </row>
    <row r="3933" ht="12.75">
      <c r="S3933" s="7"/>
    </row>
    <row r="3934" ht="12.75">
      <c r="S3934" s="7"/>
    </row>
    <row r="3935" ht="12.75">
      <c r="S3935" s="7"/>
    </row>
    <row r="3936" ht="12.75">
      <c r="S3936" s="7"/>
    </row>
    <row r="3937" ht="12.75">
      <c r="S3937" s="7"/>
    </row>
    <row r="3938" ht="12.75">
      <c r="S3938" s="7"/>
    </row>
    <row r="3939" ht="12.75">
      <c r="S3939" s="7"/>
    </row>
    <row r="3940" ht="12.75">
      <c r="S3940" s="7"/>
    </row>
    <row r="3941" ht="12.75">
      <c r="S3941" s="7"/>
    </row>
    <row r="3942" ht="12.75">
      <c r="S3942" s="7"/>
    </row>
    <row r="3943" ht="12.75">
      <c r="S3943" s="7"/>
    </row>
    <row r="3944" ht="12.75">
      <c r="S3944" s="7"/>
    </row>
    <row r="3945" ht="12.75">
      <c r="S3945" s="7"/>
    </row>
    <row r="3946" ht="12.75">
      <c r="S3946" s="7"/>
    </row>
    <row r="3947" ht="12.75">
      <c r="S3947" s="7"/>
    </row>
    <row r="3948" ht="12.75">
      <c r="S3948" s="7"/>
    </row>
    <row r="3949" ht="12.75">
      <c r="S3949" s="7"/>
    </row>
    <row r="3950" ht="12.75">
      <c r="S3950" s="7"/>
    </row>
    <row r="3951" ht="12.75">
      <c r="S3951" s="7"/>
    </row>
    <row r="3952" ht="12.75">
      <c r="S3952" s="7"/>
    </row>
    <row r="3953" ht="12.75">
      <c r="S3953" s="7"/>
    </row>
    <row r="3954" ht="12.75">
      <c r="S3954" s="7"/>
    </row>
    <row r="3955" ht="12.75">
      <c r="S3955" s="7"/>
    </row>
    <row r="3956" ht="12.75">
      <c r="S3956" s="7"/>
    </row>
    <row r="3957" ht="12.75">
      <c r="S3957" s="7"/>
    </row>
    <row r="3958" ht="12.75">
      <c r="S3958" s="7"/>
    </row>
    <row r="3959" ht="12.75">
      <c r="S3959" s="7"/>
    </row>
    <row r="3960" ht="12.75">
      <c r="S3960" s="7"/>
    </row>
    <row r="3961" ht="12.75">
      <c r="S3961" s="7"/>
    </row>
    <row r="3962" ht="12.75">
      <c r="S3962" s="7"/>
    </row>
    <row r="3963" ht="12.75">
      <c r="S3963" s="7"/>
    </row>
    <row r="3964" ht="12.75">
      <c r="S3964" s="7"/>
    </row>
    <row r="3965" ht="12.75">
      <c r="S3965" s="7"/>
    </row>
    <row r="3966" ht="12.75">
      <c r="S3966" s="7"/>
    </row>
    <row r="3967" ht="12.75">
      <c r="S3967" s="7"/>
    </row>
    <row r="3968" ht="12.75">
      <c r="S3968" s="7"/>
    </row>
    <row r="3969" ht="12.75">
      <c r="S3969" s="7"/>
    </row>
    <row r="3970" ht="12.75">
      <c r="S3970" s="7"/>
    </row>
    <row r="3971" ht="12.75">
      <c r="S3971" s="7"/>
    </row>
    <row r="3972" ht="12.75">
      <c r="S3972" s="7"/>
    </row>
    <row r="3973" ht="12.75">
      <c r="S3973" s="7"/>
    </row>
    <row r="3974" ht="12.75">
      <c r="S3974" s="7"/>
    </row>
    <row r="3975" ht="12.75">
      <c r="S3975" s="7"/>
    </row>
    <row r="3976" ht="12.75">
      <c r="S3976" s="7"/>
    </row>
    <row r="3977" ht="12.75">
      <c r="S3977" s="7"/>
    </row>
    <row r="3978" ht="12.75">
      <c r="S3978" s="7"/>
    </row>
    <row r="3979" ht="12.75">
      <c r="S3979" s="7"/>
    </row>
    <row r="3980" ht="12.75">
      <c r="S3980" s="7"/>
    </row>
    <row r="3981" ht="12.75">
      <c r="S3981" s="7"/>
    </row>
    <row r="3982" ht="12.75">
      <c r="S3982" s="7"/>
    </row>
    <row r="3983" ht="12.75">
      <c r="S3983" s="7"/>
    </row>
    <row r="3984" ht="12.75">
      <c r="S3984" s="7"/>
    </row>
    <row r="3985" ht="12.75">
      <c r="S3985" s="7"/>
    </row>
    <row r="3986" ht="12.75">
      <c r="S3986" s="7"/>
    </row>
    <row r="3987" ht="12.75">
      <c r="S3987" s="7"/>
    </row>
    <row r="3988" ht="12.75">
      <c r="S3988" s="7"/>
    </row>
    <row r="3989" ht="12.75">
      <c r="S3989" s="7"/>
    </row>
    <row r="3990" ht="12.75">
      <c r="S3990" s="7"/>
    </row>
    <row r="3991" ht="12.75">
      <c r="S3991" s="7"/>
    </row>
    <row r="3992" ht="12.75">
      <c r="S3992" s="7"/>
    </row>
    <row r="3993" ht="12.75">
      <c r="S3993" s="7"/>
    </row>
    <row r="3994" ht="12.75">
      <c r="S3994" s="7"/>
    </row>
    <row r="3995" ht="12.75">
      <c r="S3995" s="7"/>
    </row>
    <row r="3996" ht="12.75">
      <c r="S3996" s="7"/>
    </row>
    <row r="3997" ht="12.75">
      <c r="S3997" s="7"/>
    </row>
    <row r="3998" ht="12.75">
      <c r="S3998" s="7"/>
    </row>
    <row r="3999" ht="12.75">
      <c r="S3999" s="7"/>
    </row>
    <row r="4000" ht="12.75">
      <c r="S4000" s="7"/>
    </row>
    <row r="4001" ht="12.75">
      <c r="S4001" s="7"/>
    </row>
    <row r="4002" ht="12.75">
      <c r="S4002" s="7"/>
    </row>
    <row r="4003" ht="12.75">
      <c r="S4003" s="7"/>
    </row>
    <row r="4004" ht="12.75">
      <c r="S4004" s="7"/>
    </row>
    <row r="4005" ht="12.75">
      <c r="S4005" s="7"/>
    </row>
    <row r="4006" ht="12.75">
      <c r="S4006" s="7"/>
    </row>
    <row r="4007" ht="12.75">
      <c r="S4007" s="7"/>
    </row>
    <row r="4008" ht="12.75">
      <c r="S4008" s="7"/>
    </row>
    <row r="4009" ht="12.75">
      <c r="S4009" s="7"/>
    </row>
    <row r="4010" ht="12.75">
      <c r="S4010" s="7"/>
    </row>
    <row r="4011" ht="12.75">
      <c r="S4011" s="7"/>
    </row>
    <row r="4012" ht="12.75">
      <c r="S4012" s="7"/>
    </row>
    <row r="4013" ht="12.75">
      <c r="S4013" s="7"/>
    </row>
    <row r="4014" ht="12.75">
      <c r="S4014" s="7"/>
    </row>
    <row r="4015" ht="12.75">
      <c r="S4015" s="7"/>
    </row>
    <row r="4016" ht="12.75">
      <c r="S4016" s="7"/>
    </row>
    <row r="4017" ht="12.75">
      <c r="S4017" s="7"/>
    </row>
    <row r="4018" ht="12.75">
      <c r="S4018" s="7"/>
    </row>
    <row r="4019" ht="12.75">
      <c r="S4019" s="7"/>
    </row>
    <row r="4020" ht="12.75">
      <c r="S4020" s="7"/>
    </row>
    <row r="4021" ht="12.75">
      <c r="S4021" s="7"/>
    </row>
    <row r="4022" ht="12.75">
      <c r="S4022" s="7"/>
    </row>
    <row r="4023" ht="12.75">
      <c r="S4023" s="7"/>
    </row>
    <row r="4024" ht="12.75">
      <c r="S4024" s="7"/>
    </row>
    <row r="4025" ht="12.75">
      <c r="S4025" s="7"/>
    </row>
    <row r="4026" ht="12.75">
      <c r="S4026" s="7"/>
    </row>
    <row r="4027" ht="12.75">
      <c r="S4027" s="7"/>
    </row>
    <row r="4028" ht="12.75">
      <c r="S4028" s="7"/>
    </row>
    <row r="4029" ht="12.75">
      <c r="S4029" s="7"/>
    </row>
    <row r="4030" ht="12.75">
      <c r="S4030" s="7"/>
    </row>
    <row r="4031" ht="12.75">
      <c r="S4031" s="7"/>
    </row>
    <row r="4032" ht="12.75">
      <c r="S4032" s="7"/>
    </row>
    <row r="4033" ht="12.75">
      <c r="S4033" s="7"/>
    </row>
    <row r="4034" ht="12.75">
      <c r="S4034" s="7"/>
    </row>
    <row r="4035" ht="12.75">
      <c r="S4035" s="7"/>
    </row>
    <row r="4036" ht="12.75">
      <c r="S4036" s="7"/>
    </row>
    <row r="4037" ht="12.75">
      <c r="S4037" s="7"/>
    </row>
    <row r="4038" ht="12.75">
      <c r="S4038" s="7"/>
    </row>
    <row r="4039" ht="12.75">
      <c r="S4039" s="7"/>
    </row>
    <row r="4040" ht="12.75">
      <c r="S4040" s="7"/>
    </row>
    <row r="4041" ht="12.75">
      <c r="S4041" s="7"/>
    </row>
    <row r="4042" ht="12.75">
      <c r="S4042" s="7"/>
    </row>
    <row r="4043" ht="12.75">
      <c r="S4043" s="7"/>
    </row>
    <row r="4044" ht="12.75">
      <c r="S4044" s="7"/>
    </row>
    <row r="4045" ht="12.75">
      <c r="S4045" s="7"/>
    </row>
    <row r="4046" ht="12.75">
      <c r="S4046" s="7"/>
    </row>
    <row r="4047" ht="12.75">
      <c r="S4047" s="7"/>
    </row>
    <row r="4048" ht="12.75">
      <c r="S4048" s="7"/>
    </row>
    <row r="4049" ht="12.75">
      <c r="S4049" s="7"/>
    </row>
    <row r="4050" ht="12.75">
      <c r="S4050" s="7"/>
    </row>
    <row r="4051" ht="12.75">
      <c r="S4051" s="7"/>
    </row>
    <row r="4052" ht="12.75">
      <c r="S4052" s="7"/>
    </row>
    <row r="4053" ht="12.75">
      <c r="S4053" s="7"/>
    </row>
    <row r="4054" ht="12.75">
      <c r="S4054" s="7"/>
    </row>
    <row r="4055" ht="12.75">
      <c r="S4055" s="7"/>
    </row>
    <row r="4056" ht="12.75">
      <c r="S4056" s="7"/>
    </row>
    <row r="4057" ht="12.75">
      <c r="S4057" s="7"/>
    </row>
    <row r="4058" ht="12.75">
      <c r="S4058" s="7"/>
    </row>
    <row r="4059" ht="12.75">
      <c r="S4059" s="7"/>
    </row>
    <row r="4060" ht="12.75">
      <c r="S4060" s="7"/>
    </row>
    <row r="4061" ht="12.75">
      <c r="S4061" s="7"/>
    </row>
    <row r="4062" ht="12.75">
      <c r="S4062" s="7"/>
    </row>
    <row r="4063" ht="12.75">
      <c r="S4063" s="7"/>
    </row>
    <row r="4064" ht="12.75">
      <c r="S4064" s="7"/>
    </row>
    <row r="4065" ht="12.75">
      <c r="S4065" s="7"/>
    </row>
    <row r="4066" ht="12.75">
      <c r="S4066" s="7"/>
    </row>
    <row r="4067" ht="12.75">
      <c r="S4067" s="7"/>
    </row>
    <row r="4068" ht="12.75">
      <c r="S4068" s="7"/>
    </row>
    <row r="4069" ht="12.75">
      <c r="S4069" s="7"/>
    </row>
    <row r="4070" ht="12.75">
      <c r="S4070" s="7"/>
    </row>
    <row r="4071" ht="12.75">
      <c r="S4071" s="7"/>
    </row>
    <row r="4072" ht="12.75">
      <c r="S4072" s="7"/>
    </row>
    <row r="4073" ht="12.75">
      <c r="S4073" s="7"/>
    </row>
    <row r="4074" ht="12.75">
      <c r="S4074" s="7"/>
    </row>
    <row r="4075" ht="12.75">
      <c r="S4075" s="7"/>
    </row>
    <row r="4076" ht="12.75">
      <c r="S4076" s="7"/>
    </row>
    <row r="4077" ht="12.75">
      <c r="S4077" s="7"/>
    </row>
    <row r="4078" ht="12.75">
      <c r="S4078" s="7"/>
    </row>
    <row r="4079" ht="12.75">
      <c r="S4079" s="7"/>
    </row>
    <row r="4080" ht="12.75">
      <c r="S4080" s="7"/>
    </row>
    <row r="4081" ht="12.75">
      <c r="S4081" s="7"/>
    </row>
    <row r="4082" ht="12.75">
      <c r="S4082" s="7"/>
    </row>
    <row r="4083" ht="12.75">
      <c r="S4083" s="7"/>
    </row>
    <row r="4084" ht="12.75">
      <c r="S4084" s="7"/>
    </row>
    <row r="4085" ht="12.75">
      <c r="S4085" s="7"/>
    </row>
    <row r="4086" ht="12.75">
      <c r="S4086" s="7"/>
    </row>
    <row r="4087" ht="12.75">
      <c r="S4087" s="7"/>
    </row>
    <row r="4088" ht="12.75">
      <c r="S4088" s="7"/>
    </row>
    <row r="4089" ht="12.75">
      <c r="S4089" s="7"/>
    </row>
    <row r="4090" ht="12.75">
      <c r="S4090" s="7"/>
    </row>
    <row r="4091" ht="12.75">
      <c r="S4091" s="7"/>
    </row>
    <row r="4092" ht="12.75">
      <c r="S4092" s="7"/>
    </row>
    <row r="4093" ht="12.75">
      <c r="S4093" s="7"/>
    </row>
    <row r="4094" ht="12.75">
      <c r="S4094" s="7"/>
    </row>
    <row r="4095" ht="12.75">
      <c r="S4095" s="7"/>
    </row>
    <row r="4096" ht="12.75">
      <c r="S4096" s="7"/>
    </row>
    <row r="4097" ht="12.75">
      <c r="S4097" s="7"/>
    </row>
    <row r="4098" ht="12.75">
      <c r="S4098" s="7"/>
    </row>
    <row r="4099" ht="12.75">
      <c r="S4099" s="7"/>
    </row>
    <row r="4100" ht="12.75">
      <c r="S4100" s="7"/>
    </row>
    <row r="4101" ht="12.75">
      <c r="S4101" s="7"/>
    </row>
    <row r="4102" ht="12.75">
      <c r="S4102" s="7"/>
    </row>
    <row r="4103" ht="12.75">
      <c r="S4103" s="7"/>
    </row>
    <row r="4104" ht="12.75">
      <c r="S4104" s="7"/>
    </row>
    <row r="4105" ht="12.75">
      <c r="S4105" s="7"/>
    </row>
    <row r="4106" ht="12.75">
      <c r="S4106" s="7"/>
    </row>
    <row r="4107" ht="12.75">
      <c r="S4107" s="7"/>
    </row>
    <row r="4108" ht="12.75">
      <c r="S4108" s="7"/>
    </row>
    <row r="4109" ht="12.75">
      <c r="S4109" s="7"/>
    </row>
    <row r="4110" ht="12.75">
      <c r="S4110" s="7"/>
    </row>
    <row r="4111" ht="12.75">
      <c r="S4111" s="7"/>
    </row>
    <row r="4112" ht="12.75">
      <c r="S4112" s="7"/>
    </row>
    <row r="4113" ht="12.75">
      <c r="S4113" s="7"/>
    </row>
    <row r="4114" ht="12.75">
      <c r="S4114" s="7"/>
    </row>
    <row r="4115" ht="12.75">
      <c r="S4115" s="7"/>
    </row>
    <row r="4116" ht="12.75">
      <c r="S4116" s="7"/>
    </row>
    <row r="4117" ht="12.75">
      <c r="S4117" s="7"/>
    </row>
    <row r="4118" ht="12.75">
      <c r="S4118" s="7"/>
    </row>
    <row r="4119" ht="12.75">
      <c r="S4119" s="7"/>
    </row>
    <row r="4120" ht="12.75">
      <c r="S4120" s="7"/>
    </row>
    <row r="4121" ht="12.75">
      <c r="S4121" s="7"/>
    </row>
    <row r="4122" ht="12.75">
      <c r="S4122" s="7"/>
    </row>
    <row r="4123" ht="12.75">
      <c r="S4123" s="7"/>
    </row>
    <row r="4124" ht="12.75">
      <c r="S4124" s="7"/>
    </row>
    <row r="4125" ht="12.75">
      <c r="S4125" s="7"/>
    </row>
    <row r="4126" ht="12.75">
      <c r="S4126" s="7"/>
    </row>
    <row r="4127" ht="12.75">
      <c r="S4127" s="7"/>
    </row>
    <row r="4128" ht="12.75">
      <c r="S4128" s="7"/>
    </row>
    <row r="4129" ht="12.75">
      <c r="S4129" s="7"/>
    </row>
    <row r="4130" ht="12.75">
      <c r="S4130" s="7"/>
    </row>
    <row r="4131" ht="12.75">
      <c r="S4131" s="7"/>
    </row>
    <row r="4132" ht="12.75">
      <c r="S4132" s="7"/>
    </row>
    <row r="4133" ht="12.75">
      <c r="S4133" s="7"/>
    </row>
    <row r="4134" ht="12.75">
      <c r="S4134" s="7"/>
    </row>
    <row r="4135" ht="12.75">
      <c r="S4135" s="7"/>
    </row>
    <row r="4136" ht="12.75">
      <c r="S4136" s="7"/>
    </row>
    <row r="4137" ht="12.75">
      <c r="S4137" s="7"/>
    </row>
    <row r="4138" ht="12.75">
      <c r="S4138" s="7"/>
    </row>
    <row r="4139" ht="12.75">
      <c r="S4139" s="7"/>
    </row>
    <row r="4140" ht="12.75">
      <c r="S4140" s="7"/>
    </row>
    <row r="4141" ht="12.75">
      <c r="S4141" s="7"/>
    </row>
    <row r="4142" ht="12.75">
      <c r="S4142" s="7"/>
    </row>
    <row r="4143" ht="12.75">
      <c r="S4143" s="7"/>
    </row>
    <row r="4144" ht="12.75">
      <c r="S4144" s="7"/>
    </row>
    <row r="4145" ht="12.75">
      <c r="S4145" s="7"/>
    </row>
    <row r="4146" ht="12.75">
      <c r="S4146" s="7"/>
    </row>
    <row r="4147" ht="12.75">
      <c r="S4147" s="7"/>
    </row>
    <row r="4148" ht="12.75">
      <c r="S4148" s="7"/>
    </row>
    <row r="4149" ht="12.75">
      <c r="S4149" s="7"/>
    </row>
    <row r="4150" ht="12.75">
      <c r="S4150" s="7"/>
    </row>
    <row r="4151" ht="12.75">
      <c r="S4151" s="7"/>
    </row>
    <row r="4152" ht="12.75">
      <c r="S4152" s="7"/>
    </row>
    <row r="4153" ht="12.75">
      <c r="S4153" s="7"/>
    </row>
    <row r="4154" ht="12.75">
      <c r="S4154" s="7"/>
    </row>
    <row r="4155" ht="12.75">
      <c r="S4155" s="7"/>
    </row>
    <row r="4156" ht="12.75">
      <c r="S4156" s="7"/>
    </row>
    <row r="4157" ht="12.75">
      <c r="S4157" s="7"/>
    </row>
    <row r="4158" ht="12.75">
      <c r="S4158" s="7"/>
    </row>
    <row r="4159" ht="12.75">
      <c r="S4159" s="7"/>
    </row>
    <row r="4160" ht="12.75">
      <c r="S4160" s="7"/>
    </row>
    <row r="4161" ht="12.75">
      <c r="S4161" s="7"/>
    </row>
    <row r="4162" ht="12.75">
      <c r="S4162" s="7"/>
    </row>
    <row r="4163" ht="12.75">
      <c r="S4163" s="7"/>
    </row>
    <row r="4164" ht="12.75">
      <c r="S4164" s="7"/>
    </row>
    <row r="4165" ht="12.75">
      <c r="S4165" s="7"/>
    </row>
    <row r="4166" ht="12.75">
      <c r="S4166" s="7"/>
    </row>
    <row r="4167" ht="12.75">
      <c r="S4167" s="7"/>
    </row>
    <row r="4168" ht="12.75">
      <c r="S4168" s="7"/>
    </row>
    <row r="4169" ht="12.75">
      <c r="S4169" s="7"/>
    </row>
    <row r="4170" ht="12.75">
      <c r="S4170" s="7"/>
    </row>
    <row r="4171" ht="12.75">
      <c r="S4171" s="7"/>
    </row>
    <row r="4172" ht="12.75">
      <c r="S4172" s="7"/>
    </row>
    <row r="4173" ht="12.75">
      <c r="S4173" s="7"/>
    </row>
    <row r="4174" ht="12.75">
      <c r="S4174" s="7"/>
    </row>
    <row r="4175" ht="12.75">
      <c r="S4175" s="7"/>
    </row>
    <row r="4176" ht="12.75">
      <c r="S4176" s="7"/>
    </row>
    <row r="4177" ht="12.75">
      <c r="S4177" s="7"/>
    </row>
    <row r="4178" ht="12.75">
      <c r="S4178" s="7"/>
    </row>
    <row r="4179" ht="12.75">
      <c r="S4179" s="7"/>
    </row>
    <row r="4180" ht="12.75">
      <c r="S4180" s="7"/>
    </row>
    <row r="4181" ht="12.75">
      <c r="S4181" s="7"/>
    </row>
    <row r="4182" ht="12.75">
      <c r="S4182" s="7"/>
    </row>
    <row r="4183" ht="12.75">
      <c r="S4183" s="7"/>
    </row>
    <row r="4184" ht="12.75">
      <c r="S4184" s="7"/>
    </row>
    <row r="4185" ht="12.75">
      <c r="S4185" s="7"/>
    </row>
    <row r="4186" ht="12.75">
      <c r="S4186" s="7"/>
    </row>
    <row r="4187" ht="12.75">
      <c r="S4187" s="7"/>
    </row>
    <row r="4188" ht="12.75">
      <c r="S4188" s="7"/>
    </row>
    <row r="4189" ht="12.75">
      <c r="S4189" s="7"/>
    </row>
    <row r="4190" ht="12.75">
      <c r="S4190" s="7"/>
    </row>
    <row r="4191" ht="12.75">
      <c r="S4191" s="7"/>
    </row>
    <row r="4192" ht="12.75">
      <c r="S4192" s="7"/>
    </row>
    <row r="4193" ht="12.75">
      <c r="S4193" s="7"/>
    </row>
    <row r="4194" ht="12.75">
      <c r="S4194" s="7"/>
    </row>
    <row r="4195" ht="12.75">
      <c r="S4195" s="7"/>
    </row>
    <row r="4196" ht="12.75">
      <c r="S4196" s="7"/>
    </row>
    <row r="4197" ht="12.75">
      <c r="S4197" s="7"/>
    </row>
    <row r="4198" ht="12.75">
      <c r="S4198" s="7"/>
    </row>
    <row r="4199" ht="12.75">
      <c r="S4199" s="7"/>
    </row>
    <row r="4200" ht="12.75">
      <c r="S4200" s="7"/>
    </row>
    <row r="4201" ht="12.75">
      <c r="S4201" s="7"/>
    </row>
    <row r="4202" ht="12.75">
      <c r="S4202" s="7"/>
    </row>
    <row r="4203" ht="12.75">
      <c r="S4203" s="7"/>
    </row>
    <row r="4204" ht="12.75">
      <c r="S4204" s="7"/>
    </row>
    <row r="4205" ht="12.75">
      <c r="S4205" s="7"/>
    </row>
    <row r="4206" ht="12.75">
      <c r="S4206" s="7"/>
    </row>
    <row r="4207" ht="12.75">
      <c r="S4207" s="7"/>
    </row>
    <row r="4208" ht="12.75">
      <c r="S4208" s="7"/>
    </row>
    <row r="4209" ht="12.75">
      <c r="S4209" s="7"/>
    </row>
    <row r="4210" ht="12.75">
      <c r="S4210" s="7"/>
    </row>
    <row r="4211" ht="12.75">
      <c r="S4211" s="7"/>
    </row>
    <row r="4212" ht="12.75">
      <c r="S4212" s="7"/>
    </row>
    <row r="4213" ht="12.75">
      <c r="S4213" s="7"/>
    </row>
    <row r="4214" ht="12.75">
      <c r="S4214" s="7"/>
    </row>
    <row r="4215" ht="12.75">
      <c r="S4215" s="7"/>
    </row>
    <row r="4216" ht="12.75">
      <c r="S4216" s="7"/>
    </row>
    <row r="4217" ht="12.75">
      <c r="S4217" s="7"/>
    </row>
    <row r="4218" ht="12.75">
      <c r="S4218" s="7"/>
    </row>
    <row r="4219" ht="12.75">
      <c r="S4219" s="7"/>
    </row>
    <row r="4220" ht="12.75">
      <c r="S4220" s="7"/>
    </row>
    <row r="4221" ht="12.75">
      <c r="S4221" s="7"/>
    </row>
    <row r="4222" ht="12.75">
      <c r="S4222" s="7"/>
    </row>
    <row r="4223" ht="12.75">
      <c r="S4223" s="7"/>
    </row>
    <row r="4224" ht="12.75">
      <c r="S4224" s="7"/>
    </row>
    <row r="4225" ht="12.75">
      <c r="S4225" s="7"/>
    </row>
    <row r="4226" ht="12.75">
      <c r="S4226" s="7"/>
    </row>
    <row r="4227" ht="12.75">
      <c r="S4227" s="7"/>
    </row>
    <row r="4228" ht="12.75">
      <c r="S4228" s="7"/>
    </row>
    <row r="4229" ht="12.75">
      <c r="S4229" s="7"/>
    </row>
    <row r="4230" ht="12.75">
      <c r="S4230" s="7"/>
    </row>
    <row r="4231" ht="12.75">
      <c r="S4231" s="7"/>
    </row>
    <row r="4232" ht="12.75">
      <c r="S4232" s="7"/>
    </row>
    <row r="4233" ht="12.75">
      <c r="S4233" s="7"/>
    </row>
    <row r="4234" ht="12.75">
      <c r="S4234" s="7"/>
    </row>
    <row r="4235" ht="12.75">
      <c r="S4235" s="7"/>
    </row>
    <row r="4236" ht="12.75">
      <c r="S4236" s="7"/>
    </row>
    <row r="4237" ht="12.75">
      <c r="S4237" s="7"/>
    </row>
    <row r="4238" ht="12.75">
      <c r="S4238" s="7"/>
    </row>
    <row r="4239" ht="12.75">
      <c r="S4239" s="7"/>
    </row>
    <row r="4240" ht="12.75">
      <c r="S4240" s="7"/>
    </row>
    <row r="4241" ht="12.75">
      <c r="S4241" s="7"/>
    </row>
    <row r="4242" ht="12.75">
      <c r="S4242" s="7"/>
    </row>
    <row r="4243" ht="12.75">
      <c r="S4243" s="7"/>
    </row>
    <row r="4244" ht="12.75">
      <c r="S4244" s="7"/>
    </row>
    <row r="4245" ht="12.75">
      <c r="S4245" s="7"/>
    </row>
    <row r="4246" ht="12.75">
      <c r="S4246" s="7"/>
    </row>
    <row r="4247" ht="12.75">
      <c r="S4247" s="7"/>
    </row>
    <row r="4248" ht="12.75">
      <c r="S4248" s="7"/>
    </row>
    <row r="4249" ht="12.75">
      <c r="S4249" s="7"/>
    </row>
    <row r="4250" ht="12.75">
      <c r="S4250" s="7"/>
    </row>
    <row r="4251" ht="12.75">
      <c r="S4251" s="7"/>
    </row>
    <row r="4252" ht="12.75">
      <c r="S4252" s="7"/>
    </row>
    <row r="4253" ht="12.75">
      <c r="S4253" s="7"/>
    </row>
    <row r="4254" ht="12.75">
      <c r="S4254" s="7"/>
    </row>
    <row r="4255" ht="12.75">
      <c r="S4255" s="7"/>
    </row>
    <row r="4256" ht="12.75">
      <c r="S4256" s="7"/>
    </row>
    <row r="4257" ht="12.75">
      <c r="S4257" s="7"/>
    </row>
    <row r="4258" ht="12.75">
      <c r="S4258" s="7"/>
    </row>
    <row r="4259" ht="12.75">
      <c r="S4259" s="7"/>
    </row>
    <row r="4260" ht="12.75">
      <c r="S4260" s="7"/>
    </row>
    <row r="4261" ht="12.75">
      <c r="S4261" s="7"/>
    </row>
    <row r="4262" ht="12.75">
      <c r="S4262" s="7"/>
    </row>
    <row r="4263" ht="12.75">
      <c r="S4263" s="7"/>
    </row>
    <row r="4264" ht="12.75">
      <c r="S4264" s="7"/>
    </row>
    <row r="4265" ht="12.75">
      <c r="S4265" s="7"/>
    </row>
    <row r="4266" ht="12.75">
      <c r="S4266" s="7"/>
    </row>
    <row r="4267" ht="12.75">
      <c r="S4267" s="7"/>
    </row>
    <row r="4268" ht="12.75">
      <c r="S4268" s="7"/>
    </row>
    <row r="4269" ht="12.75">
      <c r="S4269" s="7"/>
    </row>
    <row r="4270" ht="12.75">
      <c r="S4270" s="7"/>
    </row>
    <row r="4271" ht="12.75">
      <c r="S4271" s="7"/>
    </row>
    <row r="4272" ht="12.75">
      <c r="S4272" s="7"/>
    </row>
    <row r="4273" ht="12.75">
      <c r="S4273" s="7"/>
    </row>
    <row r="4274" ht="12.75">
      <c r="S4274" s="7"/>
    </row>
    <row r="4275" ht="12.75">
      <c r="S4275" s="7"/>
    </row>
    <row r="4276" ht="12.75">
      <c r="S4276" s="7"/>
    </row>
    <row r="4277" ht="12.75">
      <c r="S4277" s="7"/>
    </row>
    <row r="4278" ht="12.75">
      <c r="S4278" s="7"/>
    </row>
    <row r="4279" ht="12.75">
      <c r="S4279" s="7"/>
    </row>
    <row r="4280" ht="12.75">
      <c r="S4280" s="7"/>
    </row>
    <row r="4281" ht="12.75">
      <c r="S4281" s="7"/>
    </row>
    <row r="4282" ht="12.75">
      <c r="S4282" s="7"/>
    </row>
    <row r="4283" ht="12.75">
      <c r="S4283" s="7"/>
    </row>
    <row r="4284" ht="12.75">
      <c r="S4284" s="7"/>
    </row>
    <row r="4285" ht="12.75">
      <c r="S4285" s="7"/>
    </row>
    <row r="4286" ht="12.75">
      <c r="S4286" s="7"/>
    </row>
    <row r="4287" ht="12.75">
      <c r="S4287" s="7"/>
    </row>
    <row r="4288" ht="12.75">
      <c r="S4288" s="7"/>
    </row>
    <row r="4289" ht="12.75">
      <c r="S4289" s="7"/>
    </row>
    <row r="4290" ht="12.75">
      <c r="S4290" s="7"/>
    </row>
    <row r="4291" ht="12.75">
      <c r="S4291" s="7"/>
    </row>
    <row r="4292" ht="12.75">
      <c r="S4292" s="7"/>
    </row>
    <row r="4293" ht="12.75">
      <c r="S4293" s="7"/>
    </row>
    <row r="4294" ht="12.75">
      <c r="S4294" s="7"/>
    </row>
    <row r="4295" ht="12.75">
      <c r="S4295" s="7"/>
    </row>
    <row r="4296" ht="12.75">
      <c r="S4296" s="7"/>
    </row>
    <row r="4297" ht="12.75">
      <c r="S4297" s="7"/>
    </row>
    <row r="4298" ht="12.75">
      <c r="S4298" s="7"/>
    </row>
    <row r="4299" ht="12.75">
      <c r="S4299" s="7"/>
    </row>
    <row r="4300" ht="12.75">
      <c r="S4300" s="7"/>
    </row>
    <row r="4301" ht="12.75">
      <c r="S4301" s="7"/>
    </row>
    <row r="4302" ht="12.75">
      <c r="S4302" s="7"/>
    </row>
    <row r="4303" ht="12.75">
      <c r="S4303" s="7"/>
    </row>
    <row r="4304" ht="12.75">
      <c r="S4304" s="7"/>
    </row>
    <row r="4305" ht="12.75">
      <c r="S4305" s="7"/>
    </row>
    <row r="4306" ht="12.75">
      <c r="S4306" s="7"/>
    </row>
    <row r="4307" ht="12.75">
      <c r="S4307" s="7"/>
    </row>
    <row r="4308" ht="12.75">
      <c r="S4308" s="7"/>
    </row>
    <row r="4309" ht="12.75">
      <c r="S4309" s="7"/>
    </row>
    <row r="4310" ht="12.75">
      <c r="S4310" s="7"/>
    </row>
    <row r="4311" ht="12.75">
      <c r="S4311" s="7"/>
    </row>
    <row r="4312" ht="12.75">
      <c r="S4312" s="7"/>
    </row>
    <row r="4313" ht="12.75">
      <c r="S4313" s="7"/>
    </row>
    <row r="4314" ht="12.75">
      <c r="S4314" s="7"/>
    </row>
    <row r="4315" ht="12.75">
      <c r="S4315" s="7"/>
    </row>
    <row r="4316" ht="12.75">
      <c r="S4316" s="7"/>
    </row>
    <row r="4317" ht="12.75">
      <c r="S4317" s="7"/>
    </row>
    <row r="4318" ht="12.75">
      <c r="S4318" s="7"/>
    </row>
    <row r="4319" ht="12.75">
      <c r="S4319" s="7"/>
    </row>
    <row r="4320" ht="12.75">
      <c r="S4320" s="7"/>
    </row>
    <row r="4321" ht="12.75">
      <c r="S4321" s="7"/>
    </row>
    <row r="4322" ht="12.75">
      <c r="S4322" s="7"/>
    </row>
    <row r="4323" ht="12.75">
      <c r="S4323" s="7"/>
    </row>
    <row r="4324" ht="12.75">
      <c r="S4324" s="7"/>
    </row>
    <row r="4325" ht="12.75">
      <c r="S4325" s="7"/>
    </row>
    <row r="4326" ht="12.75">
      <c r="S4326" s="7"/>
    </row>
    <row r="4327" ht="12.75">
      <c r="S4327" s="7"/>
    </row>
    <row r="4328" ht="12.75">
      <c r="S4328" s="7"/>
    </row>
    <row r="4329" ht="12.75">
      <c r="S4329" s="7"/>
    </row>
    <row r="4330" ht="12.75">
      <c r="S4330" s="7"/>
    </row>
    <row r="4331" ht="12.75">
      <c r="S4331" s="7"/>
    </row>
    <row r="4332" ht="12.75">
      <c r="S4332" s="7"/>
    </row>
    <row r="4333" ht="12.75">
      <c r="S4333" s="7"/>
    </row>
    <row r="4334" ht="12.75">
      <c r="S4334" s="7"/>
    </row>
    <row r="4335" ht="12.75">
      <c r="S4335" s="7"/>
    </row>
    <row r="4336" ht="12.75">
      <c r="S4336" s="7"/>
    </row>
    <row r="4337" ht="12.75">
      <c r="S4337" s="7"/>
    </row>
    <row r="4338" ht="12.75">
      <c r="S4338" s="7"/>
    </row>
    <row r="4339" ht="12.75">
      <c r="S4339" s="7"/>
    </row>
    <row r="4340" ht="12.75">
      <c r="S4340" s="7"/>
    </row>
    <row r="4341" ht="12.75">
      <c r="S4341" s="7"/>
    </row>
    <row r="4342" ht="12.75">
      <c r="S4342" s="7"/>
    </row>
    <row r="4343" ht="12.75">
      <c r="S4343" s="7"/>
    </row>
    <row r="4344" ht="12.75">
      <c r="S4344" s="7"/>
    </row>
    <row r="4345" ht="12.75">
      <c r="S4345" s="7"/>
    </row>
    <row r="4346" ht="12.75">
      <c r="S4346" s="7"/>
    </row>
    <row r="4347" ht="12.75">
      <c r="S4347" s="7"/>
    </row>
    <row r="4348" ht="12.75">
      <c r="S4348" s="7"/>
    </row>
    <row r="4349" ht="12.75">
      <c r="S4349" s="7"/>
    </row>
    <row r="4350" ht="12.75">
      <c r="S4350" s="7"/>
    </row>
    <row r="4351" ht="12.75">
      <c r="S4351" s="7"/>
    </row>
    <row r="4352" ht="12.75">
      <c r="S4352" s="7"/>
    </row>
    <row r="4353" ht="12.75">
      <c r="S4353" s="7"/>
    </row>
    <row r="4354" ht="12.75">
      <c r="S4354" s="7"/>
    </row>
    <row r="4355" ht="12.75">
      <c r="S4355" s="7"/>
    </row>
    <row r="4356" ht="12.75">
      <c r="S4356" s="7"/>
    </row>
    <row r="4357" ht="12.75">
      <c r="S4357" s="7"/>
    </row>
    <row r="4358" ht="12.75">
      <c r="S4358" s="7"/>
    </row>
    <row r="4359" ht="12.75">
      <c r="S4359" s="7"/>
    </row>
    <row r="4360" ht="12.75">
      <c r="S4360" s="7"/>
    </row>
    <row r="4361" ht="12.75">
      <c r="S4361" s="7"/>
    </row>
    <row r="4362" ht="12.75">
      <c r="S4362" s="7"/>
    </row>
    <row r="4363" ht="12.75">
      <c r="S4363" s="7"/>
    </row>
    <row r="4364" ht="12.75">
      <c r="S4364" s="7"/>
    </row>
    <row r="4365" ht="12.75">
      <c r="S4365" s="7"/>
    </row>
    <row r="4366" ht="12.75">
      <c r="S4366" s="7"/>
    </row>
    <row r="4367" ht="12.75">
      <c r="S4367" s="7"/>
    </row>
    <row r="4368" ht="12.75">
      <c r="S4368" s="7"/>
    </row>
    <row r="4369" ht="12.75">
      <c r="S4369" s="7"/>
    </row>
    <row r="4370" ht="12.75">
      <c r="S4370" s="7"/>
    </row>
    <row r="4371" ht="12.75">
      <c r="S4371" s="7"/>
    </row>
    <row r="4372" ht="12.75">
      <c r="S4372" s="7"/>
    </row>
    <row r="4373" ht="12.75">
      <c r="S4373" s="7"/>
    </row>
    <row r="4374" ht="12.75">
      <c r="S4374" s="7"/>
    </row>
    <row r="4375" ht="12.75">
      <c r="S4375" s="7"/>
    </row>
    <row r="4376" ht="12.75">
      <c r="S4376" s="7"/>
    </row>
    <row r="4377" ht="12.75">
      <c r="S4377" s="7"/>
    </row>
    <row r="4378" ht="12.75">
      <c r="S4378" s="7"/>
    </row>
    <row r="4379" ht="12.75">
      <c r="S4379" s="7"/>
    </row>
    <row r="4380" ht="12.75">
      <c r="S4380" s="7"/>
    </row>
    <row r="4381" ht="12.75">
      <c r="S4381" s="7"/>
    </row>
    <row r="4382" ht="12.75">
      <c r="S4382" s="7"/>
    </row>
    <row r="4383" ht="12.75">
      <c r="S4383" s="7"/>
    </row>
    <row r="4384" ht="12.75">
      <c r="S4384" s="7"/>
    </row>
    <row r="4385" ht="12.75">
      <c r="S4385" s="7"/>
    </row>
    <row r="4386" ht="12.75">
      <c r="S4386" s="7"/>
    </row>
    <row r="4387" ht="12.75">
      <c r="S4387" s="7"/>
    </row>
    <row r="4388" ht="12.75">
      <c r="S4388" s="7"/>
    </row>
    <row r="4389" ht="12.75">
      <c r="S4389" s="7"/>
    </row>
    <row r="4390" ht="12.75">
      <c r="S4390" s="7"/>
    </row>
    <row r="4391" ht="12.75">
      <c r="S4391" s="7"/>
    </row>
    <row r="4392" ht="12.75">
      <c r="S4392" s="7"/>
    </row>
    <row r="4393" ht="12.75">
      <c r="S4393" s="7"/>
    </row>
    <row r="4394" ht="12.75">
      <c r="S4394" s="7"/>
    </row>
    <row r="4395" ht="12.75">
      <c r="S4395" s="7"/>
    </row>
    <row r="4396" ht="12.75">
      <c r="S4396" s="7"/>
    </row>
    <row r="4397" ht="12.75">
      <c r="S4397" s="7"/>
    </row>
    <row r="4398" ht="12.75">
      <c r="S4398" s="7"/>
    </row>
    <row r="4399" ht="12.75">
      <c r="S4399" s="7"/>
    </row>
    <row r="4400" ht="12.75">
      <c r="S4400" s="7"/>
    </row>
    <row r="4401" ht="12.75">
      <c r="S4401" s="7"/>
    </row>
    <row r="4402" ht="12.75">
      <c r="S4402" s="7"/>
    </row>
    <row r="4403" ht="12.75">
      <c r="S4403" s="7"/>
    </row>
    <row r="4404" ht="12.75">
      <c r="S4404" s="7"/>
    </row>
    <row r="4405" ht="12.75">
      <c r="S4405" s="7"/>
    </row>
    <row r="4406" ht="12.75">
      <c r="S4406" s="7"/>
    </row>
    <row r="4407" ht="12.75">
      <c r="S4407" s="7"/>
    </row>
    <row r="4408" ht="12.75">
      <c r="S4408" s="7"/>
    </row>
    <row r="4409" ht="12.75">
      <c r="S4409" s="7"/>
    </row>
    <row r="4410" ht="12.75">
      <c r="S4410" s="7"/>
    </row>
    <row r="4411" ht="12.75">
      <c r="S4411" s="7"/>
    </row>
    <row r="4412" ht="12.75">
      <c r="S4412" s="7"/>
    </row>
    <row r="4413" ht="12.75">
      <c r="S4413" s="7"/>
    </row>
    <row r="4414" ht="12.75">
      <c r="S4414" s="7"/>
    </row>
    <row r="4415" ht="12.75">
      <c r="S4415" s="7"/>
    </row>
    <row r="4416" ht="12.75">
      <c r="S4416" s="7"/>
    </row>
    <row r="4417" ht="12.75">
      <c r="S4417" s="7"/>
    </row>
    <row r="4418" ht="12.75">
      <c r="S4418" s="7"/>
    </row>
    <row r="4419" ht="12.75">
      <c r="S4419" s="7"/>
    </row>
    <row r="4420" ht="12.75">
      <c r="S4420" s="7"/>
    </row>
    <row r="4421" ht="12.75">
      <c r="S4421" s="7"/>
    </row>
    <row r="4422" ht="12.75">
      <c r="S4422" s="7"/>
    </row>
    <row r="4423" ht="12.75">
      <c r="S4423" s="7"/>
    </row>
    <row r="4424" ht="12.75">
      <c r="S4424" s="7"/>
    </row>
    <row r="4425" ht="12.75">
      <c r="S4425" s="7"/>
    </row>
    <row r="4426" ht="12.75">
      <c r="S4426" s="7"/>
    </row>
    <row r="4427" ht="12.75">
      <c r="S4427" s="7"/>
    </row>
    <row r="4428" ht="12.75">
      <c r="S4428" s="7"/>
    </row>
    <row r="4429" ht="12.75">
      <c r="S4429" s="7"/>
    </row>
    <row r="4430" ht="12.75">
      <c r="S4430" s="7"/>
    </row>
    <row r="4431" ht="12.75">
      <c r="S4431" s="7"/>
    </row>
    <row r="4432" ht="12.75">
      <c r="S4432" s="7"/>
    </row>
    <row r="4433" ht="12.75">
      <c r="S4433" s="7"/>
    </row>
    <row r="4434" ht="12.75">
      <c r="S4434" s="7"/>
    </row>
    <row r="4435" ht="12.75">
      <c r="S4435" s="7"/>
    </row>
    <row r="4436" ht="12.75">
      <c r="S4436" s="7"/>
    </row>
    <row r="4437" ht="12.75">
      <c r="S4437" s="7"/>
    </row>
    <row r="4438" ht="12.75">
      <c r="S4438" s="7"/>
    </row>
    <row r="4439" ht="12.75">
      <c r="S4439" s="7"/>
    </row>
    <row r="4440" ht="12.75">
      <c r="S4440" s="7"/>
    </row>
    <row r="4441" ht="12.75">
      <c r="S4441" s="7"/>
    </row>
    <row r="4442" ht="12.75">
      <c r="S4442" s="7"/>
    </row>
    <row r="4443" ht="12.75">
      <c r="S4443" s="7"/>
    </row>
    <row r="4444" ht="12.75">
      <c r="S4444" s="7"/>
    </row>
    <row r="4445" ht="12.75">
      <c r="S4445" s="7"/>
    </row>
    <row r="4446" ht="12.75">
      <c r="S4446" s="7"/>
    </row>
    <row r="4447" ht="12.75">
      <c r="S4447" s="7"/>
    </row>
    <row r="4448" ht="12.75">
      <c r="S4448" s="7"/>
    </row>
    <row r="4449" ht="12.75">
      <c r="S4449" s="7"/>
    </row>
    <row r="4450" ht="12.75">
      <c r="S4450" s="7"/>
    </row>
    <row r="4451" ht="12.75">
      <c r="S4451" s="7"/>
    </row>
    <row r="4452" ht="12.75">
      <c r="S4452" s="7"/>
    </row>
    <row r="4453" ht="12.75">
      <c r="S4453" s="7"/>
    </row>
    <row r="4454" ht="12.75">
      <c r="S4454" s="7"/>
    </row>
    <row r="4455" ht="12.75">
      <c r="S4455" s="7"/>
    </row>
    <row r="4456" ht="12.75">
      <c r="S4456" s="7"/>
    </row>
    <row r="4457" ht="12.75">
      <c r="S4457" s="7"/>
    </row>
    <row r="4458" ht="12.75">
      <c r="S4458" s="7"/>
    </row>
    <row r="4459" ht="12.75">
      <c r="S4459" s="7"/>
    </row>
    <row r="4460" ht="12.75">
      <c r="S4460" s="7"/>
    </row>
    <row r="4461" ht="12.75">
      <c r="S4461" s="7"/>
    </row>
    <row r="4462" ht="12.75">
      <c r="S4462" s="7"/>
    </row>
    <row r="4463" ht="12.75">
      <c r="S4463" s="7"/>
    </row>
    <row r="4464" ht="12.75">
      <c r="S4464" s="7"/>
    </row>
    <row r="4465" ht="12.75">
      <c r="S4465" s="7"/>
    </row>
    <row r="4466" ht="12.75">
      <c r="S4466" s="7"/>
    </row>
    <row r="4467" ht="12.75">
      <c r="S4467" s="7"/>
    </row>
    <row r="4468" ht="12.75">
      <c r="S4468" s="7"/>
    </row>
    <row r="4469" ht="12.75">
      <c r="S4469" s="7"/>
    </row>
    <row r="4470" ht="12.75">
      <c r="S4470" s="7"/>
    </row>
    <row r="4471" ht="12.75">
      <c r="S4471" s="7"/>
    </row>
    <row r="4472" ht="12.75">
      <c r="S4472" s="7"/>
    </row>
    <row r="4473" ht="12.75">
      <c r="S4473" s="7"/>
    </row>
    <row r="4474" ht="12.75">
      <c r="S4474" s="7"/>
    </row>
    <row r="4475" ht="12.75">
      <c r="S4475" s="7"/>
    </row>
    <row r="4476" ht="12.75">
      <c r="S4476" s="7"/>
    </row>
    <row r="4477" ht="12.75">
      <c r="S4477" s="7"/>
    </row>
    <row r="4478" ht="12.75">
      <c r="S4478" s="7"/>
    </row>
    <row r="4479" ht="12.75">
      <c r="S4479" s="7"/>
    </row>
    <row r="4480" ht="12.75">
      <c r="S4480" s="7"/>
    </row>
    <row r="4481" ht="12.75">
      <c r="S4481" s="7"/>
    </row>
    <row r="4482" ht="12.75">
      <c r="S4482" s="7"/>
    </row>
    <row r="4483" ht="12.75">
      <c r="S4483" s="7"/>
    </row>
    <row r="4484" ht="12.75">
      <c r="S4484" s="7"/>
    </row>
    <row r="4485" ht="12.75">
      <c r="S4485" s="7"/>
    </row>
    <row r="4486" ht="12.75">
      <c r="S4486" s="7"/>
    </row>
    <row r="4487" ht="12.75">
      <c r="S4487" s="7"/>
    </row>
    <row r="4488" ht="12.75">
      <c r="S4488" s="7"/>
    </row>
    <row r="4489" ht="12.75">
      <c r="S4489" s="7"/>
    </row>
    <row r="4490" ht="12.75">
      <c r="S4490" s="7"/>
    </row>
    <row r="4491" ht="12.75">
      <c r="S4491" s="7"/>
    </row>
    <row r="4492" ht="12.75">
      <c r="S4492" s="7"/>
    </row>
    <row r="4493" ht="12.75">
      <c r="S4493" s="7"/>
    </row>
    <row r="4494" ht="12.75">
      <c r="S4494" s="7"/>
    </row>
    <row r="4495" ht="12.75">
      <c r="S4495" s="7"/>
    </row>
    <row r="4496" ht="12.75">
      <c r="S4496" s="7"/>
    </row>
    <row r="4497" ht="12.75">
      <c r="S4497" s="7"/>
    </row>
    <row r="4498" ht="12.75">
      <c r="S4498" s="7"/>
    </row>
    <row r="4499" ht="12.75">
      <c r="S4499" s="7"/>
    </row>
    <row r="4500" ht="12.75">
      <c r="S4500" s="7"/>
    </row>
    <row r="4501" ht="12.75">
      <c r="S4501" s="7"/>
    </row>
    <row r="4502" ht="12.75">
      <c r="S4502" s="7"/>
    </row>
    <row r="4503" ht="12.75">
      <c r="S4503" s="7"/>
    </row>
    <row r="4504" ht="12.75">
      <c r="S4504" s="7"/>
    </row>
    <row r="4505" ht="12.75">
      <c r="S4505" s="7"/>
    </row>
    <row r="4506" ht="12.75">
      <c r="S4506" s="7"/>
    </row>
    <row r="4507" ht="12.75">
      <c r="S4507" s="7"/>
    </row>
    <row r="4508" ht="12.75">
      <c r="S4508" s="7"/>
    </row>
    <row r="4509" ht="12.75">
      <c r="S4509" s="7"/>
    </row>
    <row r="4510" ht="12.75">
      <c r="S4510" s="7"/>
    </row>
    <row r="4511" ht="12.75">
      <c r="S4511" s="7"/>
    </row>
    <row r="4512" ht="12.75">
      <c r="S4512" s="7"/>
    </row>
    <row r="4513" ht="12.75">
      <c r="S4513" s="7"/>
    </row>
    <row r="4514" ht="12.75">
      <c r="S4514" s="7"/>
    </row>
    <row r="4515" ht="12.75">
      <c r="S4515" s="7"/>
    </row>
    <row r="4516" ht="12.75">
      <c r="S4516" s="7"/>
    </row>
    <row r="4517" ht="12.75">
      <c r="S4517" s="7"/>
    </row>
    <row r="4518" ht="12.75">
      <c r="S4518" s="7"/>
    </row>
    <row r="4519" ht="12.75">
      <c r="S4519" s="7"/>
    </row>
    <row r="4520" ht="12.75">
      <c r="S4520" s="7"/>
    </row>
    <row r="4521" ht="12.75">
      <c r="S4521" s="7"/>
    </row>
    <row r="4522" ht="12.75">
      <c r="S4522" s="7"/>
    </row>
    <row r="4523" ht="12.75">
      <c r="S4523" s="7"/>
    </row>
    <row r="4524" ht="12.75">
      <c r="S4524" s="7"/>
    </row>
    <row r="4525" ht="12.75">
      <c r="S4525" s="7"/>
    </row>
    <row r="4526" ht="12.75">
      <c r="S4526" s="7"/>
    </row>
    <row r="4527" ht="12.75">
      <c r="S4527" s="7"/>
    </row>
    <row r="4528" ht="12.75">
      <c r="S4528" s="7"/>
    </row>
    <row r="4529" ht="12.75">
      <c r="S4529" s="7"/>
    </row>
    <row r="4530" ht="12.75">
      <c r="S4530" s="7"/>
    </row>
    <row r="4531" ht="12.75">
      <c r="S4531" s="7"/>
    </row>
    <row r="4532" ht="12.75">
      <c r="S4532" s="7"/>
    </row>
    <row r="4533" ht="12.75">
      <c r="S4533" s="7"/>
    </row>
    <row r="4534" ht="12.75">
      <c r="S4534" s="7"/>
    </row>
    <row r="4535" ht="12.75">
      <c r="S4535" s="7"/>
    </row>
    <row r="4536" ht="12.75">
      <c r="S4536" s="7"/>
    </row>
    <row r="4537" ht="12.75">
      <c r="S4537" s="7"/>
    </row>
    <row r="4538" ht="12.75">
      <c r="S4538" s="7"/>
    </row>
    <row r="4539" ht="12.75">
      <c r="S4539" s="7"/>
    </row>
    <row r="4540" ht="12.75">
      <c r="S4540" s="7"/>
    </row>
    <row r="4541" ht="12.75">
      <c r="S4541" s="7"/>
    </row>
    <row r="4542" ht="12.75">
      <c r="S4542" s="7"/>
    </row>
    <row r="4543" ht="12.75">
      <c r="S4543" s="7"/>
    </row>
    <row r="4544" ht="12.75">
      <c r="S4544" s="7"/>
    </row>
    <row r="4545" ht="12.75">
      <c r="S4545" s="7"/>
    </row>
    <row r="4546" ht="12.75">
      <c r="S4546" s="7"/>
    </row>
    <row r="4547" ht="12.75">
      <c r="S4547" s="7"/>
    </row>
    <row r="4548" ht="12.75">
      <c r="S4548" s="7"/>
    </row>
    <row r="4549" ht="12.75">
      <c r="S4549" s="7"/>
    </row>
    <row r="4550" ht="12.75">
      <c r="S4550" s="7"/>
    </row>
    <row r="4551" ht="12.75">
      <c r="S4551" s="7"/>
    </row>
    <row r="4552" ht="12.75">
      <c r="S4552" s="7"/>
    </row>
    <row r="4553" ht="12.75">
      <c r="S4553" s="7"/>
    </row>
    <row r="4554" ht="12.75">
      <c r="S4554" s="7"/>
    </row>
    <row r="4555" ht="12.75">
      <c r="S4555" s="7"/>
    </row>
    <row r="4556" ht="12.75">
      <c r="S4556" s="7"/>
    </row>
    <row r="4557" ht="12.75">
      <c r="S4557" s="7"/>
    </row>
    <row r="4558" ht="12.75">
      <c r="S4558" s="7"/>
    </row>
    <row r="4559" ht="12.75">
      <c r="S4559" s="7"/>
    </row>
    <row r="4560" ht="12.75">
      <c r="S4560" s="7"/>
    </row>
    <row r="4561" ht="12.75">
      <c r="S4561" s="7"/>
    </row>
    <row r="4562" ht="12.75">
      <c r="S4562" s="7"/>
    </row>
    <row r="4563" ht="12.75">
      <c r="S4563" s="7"/>
    </row>
    <row r="4564" ht="12.75">
      <c r="S4564" s="7"/>
    </row>
    <row r="4565" ht="12.75">
      <c r="S4565" s="7"/>
    </row>
    <row r="4566" ht="12.75">
      <c r="S4566" s="7"/>
    </row>
    <row r="4567" ht="12.75">
      <c r="S4567" s="7"/>
    </row>
    <row r="4568" ht="12.75">
      <c r="S4568" s="7"/>
    </row>
    <row r="4569" ht="12.75">
      <c r="S4569" s="7"/>
    </row>
    <row r="4570" ht="12.75">
      <c r="S4570" s="7"/>
    </row>
    <row r="4571" ht="12.75">
      <c r="S4571" s="7"/>
    </row>
    <row r="4572" ht="12.75">
      <c r="S4572" s="7"/>
    </row>
    <row r="4573" ht="12.75">
      <c r="S4573" s="7"/>
    </row>
    <row r="4574" ht="12.75">
      <c r="S4574" s="7"/>
    </row>
    <row r="4575" ht="12.75">
      <c r="S4575" s="7"/>
    </row>
    <row r="4576" ht="12.75">
      <c r="S4576" s="7"/>
    </row>
    <row r="4577" ht="12.75">
      <c r="S4577" s="7"/>
    </row>
    <row r="4578" ht="12.75">
      <c r="S4578" s="7"/>
    </row>
    <row r="4579" ht="12.75">
      <c r="S4579" s="7"/>
    </row>
    <row r="4580" ht="12.75">
      <c r="S4580" s="7"/>
    </row>
    <row r="4581" ht="12.75">
      <c r="S4581" s="7"/>
    </row>
    <row r="4582" ht="12.75">
      <c r="S4582" s="7"/>
    </row>
    <row r="4583" ht="12.75">
      <c r="S4583" s="7"/>
    </row>
    <row r="4584" ht="12.75">
      <c r="S4584" s="7"/>
    </row>
    <row r="4585" ht="12.75">
      <c r="S4585" s="7"/>
    </row>
    <row r="4586" ht="12.75">
      <c r="S4586" s="7"/>
    </row>
    <row r="4587" ht="12.75">
      <c r="S4587" s="7"/>
    </row>
    <row r="4588" ht="12.75">
      <c r="S4588" s="7"/>
    </row>
    <row r="4589" ht="12.75">
      <c r="S4589" s="7"/>
    </row>
    <row r="4590" ht="12.75">
      <c r="S4590" s="7"/>
    </row>
    <row r="4591" ht="12.75">
      <c r="S4591" s="7"/>
    </row>
    <row r="4592" ht="12.75">
      <c r="S4592" s="7"/>
    </row>
    <row r="4593" ht="12.75">
      <c r="S4593" s="7"/>
    </row>
    <row r="4594" ht="12.75">
      <c r="S4594" s="7"/>
    </row>
    <row r="4595" ht="12.75">
      <c r="S4595" s="7"/>
    </row>
    <row r="4596" ht="12.75">
      <c r="S4596" s="7"/>
    </row>
    <row r="4597" ht="12.75">
      <c r="S4597" s="7"/>
    </row>
    <row r="4598" ht="12.75">
      <c r="S4598" s="7"/>
    </row>
    <row r="4599" ht="12.75">
      <c r="S4599" s="7"/>
    </row>
    <row r="4600" ht="12.75">
      <c r="S4600" s="7"/>
    </row>
    <row r="4601" ht="12.75">
      <c r="S4601" s="7"/>
    </row>
    <row r="4602" ht="12.75">
      <c r="S4602" s="7"/>
    </row>
    <row r="4603" ht="12.75">
      <c r="S4603" s="7"/>
    </row>
    <row r="4604" ht="12.75">
      <c r="S4604" s="7"/>
    </row>
    <row r="4605" ht="12.75">
      <c r="S4605" s="7"/>
    </row>
    <row r="4606" ht="12.75">
      <c r="S4606" s="7"/>
    </row>
    <row r="4607" ht="12.75">
      <c r="S4607" s="7"/>
    </row>
    <row r="4608" ht="12.75">
      <c r="S4608" s="7"/>
    </row>
    <row r="4609" ht="12.75">
      <c r="S4609" s="7"/>
    </row>
    <row r="4610" ht="12.75">
      <c r="S4610" s="7"/>
    </row>
    <row r="4611" ht="12.75">
      <c r="S4611" s="7"/>
    </row>
    <row r="4612" ht="12.75">
      <c r="S4612" s="7"/>
    </row>
    <row r="4613" ht="12.75">
      <c r="S4613" s="7"/>
    </row>
    <row r="4614" ht="12.75">
      <c r="S4614" s="7"/>
    </row>
    <row r="4615" ht="12.75">
      <c r="S4615" s="7"/>
    </row>
    <row r="4616" ht="12.75">
      <c r="S4616" s="7"/>
    </row>
    <row r="4617" ht="12.75">
      <c r="S4617" s="7"/>
    </row>
    <row r="4618" ht="12.75">
      <c r="S4618" s="7"/>
    </row>
    <row r="4619" ht="12.75">
      <c r="S4619" s="7"/>
    </row>
    <row r="4620" ht="12.75">
      <c r="S4620" s="7"/>
    </row>
    <row r="4621" ht="12.75">
      <c r="S4621" s="7"/>
    </row>
    <row r="4622" ht="12.75">
      <c r="S4622" s="7"/>
    </row>
    <row r="4623" ht="12.75">
      <c r="S4623" s="7"/>
    </row>
    <row r="4624" ht="12.75">
      <c r="S4624" s="7"/>
    </row>
    <row r="4625" ht="12.75">
      <c r="S4625" s="7"/>
    </row>
    <row r="4626" ht="12.75">
      <c r="S4626" s="7"/>
    </row>
    <row r="4627" ht="12.75">
      <c r="S4627" s="7"/>
    </row>
    <row r="4628" ht="12.75">
      <c r="S4628" s="7"/>
    </row>
    <row r="4629" ht="12.75">
      <c r="S4629" s="7"/>
    </row>
    <row r="4630" ht="12.75">
      <c r="S4630" s="7"/>
    </row>
    <row r="4631" ht="12.75">
      <c r="S4631" s="7"/>
    </row>
    <row r="4632" ht="12.75">
      <c r="S4632" s="7"/>
    </row>
    <row r="4633" ht="12.75">
      <c r="S4633" s="7"/>
    </row>
    <row r="4634" ht="12.75">
      <c r="S4634" s="7"/>
    </row>
    <row r="4635" ht="12.75">
      <c r="S4635" s="7"/>
    </row>
    <row r="4636" ht="12.75">
      <c r="S4636" s="7"/>
    </row>
    <row r="4637" ht="12.75">
      <c r="S4637" s="7"/>
    </row>
    <row r="4638" ht="12.75">
      <c r="S4638" s="7"/>
    </row>
    <row r="4639" ht="12.75">
      <c r="S4639" s="7"/>
    </row>
    <row r="4640" ht="12.75">
      <c r="S4640" s="7"/>
    </row>
    <row r="4641" ht="12.75">
      <c r="S4641" s="7"/>
    </row>
    <row r="4642" ht="12.75">
      <c r="S4642" s="7"/>
    </row>
    <row r="4643" ht="12.75">
      <c r="S4643" s="7"/>
    </row>
    <row r="4644" ht="12.75">
      <c r="S4644" s="7"/>
    </row>
    <row r="4645" ht="12.75">
      <c r="S4645" s="7"/>
    </row>
    <row r="4646" ht="12.75">
      <c r="S4646" s="7"/>
    </row>
    <row r="4647" ht="12.75">
      <c r="S4647" s="7"/>
    </row>
    <row r="4648" ht="12.75">
      <c r="S4648" s="7"/>
    </row>
    <row r="4649" ht="12.75">
      <c r="S4649" s="7"/>
    </row>
    <row r="4650" ht="12.75">
      <c r="S4650" s="7"/>
    </row>
    <row r="4651" ht="12.75">
      <c r="S4651" s="7"/>
    </row>
    <row r="4652" ht="12.75">
      <c r="S4652" s="7"/>
    </row>
    <row r="4653" ht="12.75">
      <c r="S4653" s="7"/>
    </row>
    <row r="4654" ht="12.75">
      <c r="S4654" s="7"/>
    </row>
    <row r="4655" ht="12.75">
      <c r="S4655" s="7"/>
    </row>
    <row r="4656" ht="12.75">
      <c r="S4656" s="7"/>
    </row>
    <row r="4657" ht="12.75">
      <c r="S4657" s="7"/>
    </row>
    <row r="4658" ht="12.75">
      <c r="S4658" s="7"/>
    </row>
    <row r="4659" ht="12.75">
      <c r="S4659" s="7"/>
    </row>
    <row r="4660" ht="12.75">
      <c r="S4660" s="7"/>
    </row>
    <row r="4661" ht="12.75">
      <c r="S4661" s="7"/>
    </row>
    <row r="4662" ht="12.75">
      <c r="S4662" s="7"/>
    </row>
    <row r="4663" ht="12.75">
      <c r="S4663" s="7"/>
    </row>
    <row r="4664" ht="12.75">
      <c r="S4664" s="7"/>
    </row>
    <row r="4665" ht="12.75">
      <c r="S4665" s="7"/>
    </row>
    <row r="4666" ht="12.75">
      <c r="S4666" s="7"/>
    </row>
    <row r="4667" ht="12.75">
      <c r="S4667" s="7"/>
    </row>
    <row r="4668" ht="12.75">
      <c r="S4668" s="7"/>
    </row>
    <row r="4669" ht="12.75">
      <c r="S4669" s="7"/>
    </row>
    <row r="4670" ht="12.75">
      <c r="S4670" s="7"/>
    </row>
    <row r="4671" ht="12.75">
      <c r="S4671" s="7"/>
    </row>
    <row r="4672" ht="12.75">
      <c r="S4672" s="7"/>
    </row>
    <row r="4673" ht="12.75">
      <c r="S4673" s="7"/>
    </row>
    <row r="4674" ht="12.75">
      <c r="S4674" s="7"/>
    </row>
    <row r="4675" ht="12.75">
      <c r="S4675" s="7"/>
    </row>
    <row r="4676" ht="12.75">
      <c r="S4676" s="7"/>
    </row>
    <row r="4677" ht="12.75">
      <c r="S4677" s="7"/>
    </row>
    <row r="4678" ht="12.75">
      <c r="S4678" s="7"/>
    </row>
    <row r="4679" ht="12.75">
      <c r="S4679" s="7"/>
    </row>
    <row r="4680" ht="12.75">
      <c r="S4680" s="7"/>
    </row>
    <row r="4681" ht="12.75">
      <c r="S4681" s="7"/>
    </row>
    <row r="4682" ht="12.75">
      <c r="S4682" s="7"/>
    </row>
    <row r="4683" ht="12.75">
      <c r="S4683" s="7"/>
    </row>
    <row r="4684" ht="12.75">
      <c r="S4684" s="7"/>
    </row>
    <row r="4685" ht="12.75">
      <c r="S4685" s="7"/>
    </row>
    <row r="4686" ht="12.75">
      <c r="S4686" s="7"/>
    </row>
    <row r="4687" ht="12.75">
      <c r="S4687" s="7"/>
    </row>
    <row r="4688" ht="12.75">
      <c r="S4688" s="7"/>
    </row>
    <row r="4689" ht="12.75">
      <c r="S4689" s="7"/>
    </row>
    <row r="4690" ht="12.75">
      <c r="S4690" s="7"/>
    </row>
    <row r="4691" ht="12.75">
      <c r="S4691" s="7"/>
    </row>
    <row r="4692" ht="12.75">
      <c r="S4692" s="7"/>
    </row>
    <row r="4693" ht="12.75">
      <c r="S4693" s="7"/>
    </row>
    <row r="4694" ht="12.75">
      <c r="S4694" s="7"/>
    </row>
    <row r="4695" ht="12.75">
      <c r="S4695" s="7"/>
    </row>
    <row r="4696" ht="12.75">
      <c r="S4696" s="7"/>
    </row>
    <row r="4697" ht="12.75">
      <c r="S4697" s="7"/>
    </row>
    <row r="4698" ht="12.75">
      <c r="S4698" s="7"/>
    </row>
    <row r="4699" ht="12.75">
      <c r="S4699" s="7"/>
    </row>
    <row r="4700" ht="12.75">
      <c r="S4700" s="7"/>
    </row>
    <row r="4701" ht="12.75">
      <c r="S4701" s="7"/>
    </row>
    <row r="4702" ht="12.75">
      <c r="S4702" s="7"/>
    </row>
    <row r="4703" ht="12.75">
      <c r="S4703" s="7"/>
    </row>
    <row r="4704" ht="12.75">
      <c r="S4704" s="7"/>
    </row>
    <row r="4705" ht="12.75">
      <c r="S4705" s="7"/>
    </row>
    <row r="4706" ht="12.75">
      <c r="S4706" s="7"/>
    </row>
    <row r="4707" ht="12.75">
      <c r="S4707" s="7"/>
    </row>
    <row r="4708" ht="12.75">
      <c r="S4708" s="7"/>
    </row>
    <row r="4709" ht="12.75">
      <c r="S4709" s="7"/>
    </row>
    <row r="4710" ht="12.75">
      <c r="S4710" s="7"/>
    </row>
    <row r="4711" ht="12.75">
      <c r="S4711" s="7"/>
    </row>
    <row r="4712" ht="12.75">
      <c r="S4712" s="7"/>
    </row>
    <row r="4713" ht="12.75">
      <c r="S4713" s="7"/>
    </row>
    <row r="4714" ht="12.75">
      <c r="S4714" s="7"/>
    </row>
    <row r="4715" ht="12.75">
      <c r="S4715" s="7"/>
    </row>
    <row r="4716" ht="12.75">
      <c r="S4716" s="7"/>
    </row>
    <row r="4717" ht="12.75">
      <c r="S4717" s="7"/>
    </row>
    <row r="4718" ht="12.75">
      <c r="S4718" s="7"/>
    </row>
    <row r="4719" ht="12.75">
      <c r="S4719" s="7"/>
    </row>
    <row r="4720" ht="12.75">
      <c r="S4720" s="7"/>
    </row>
    <row r="4721" ht="12.75">
      <c r="S4721" s="7"/>
    </row>
    <row r="4722" ht="12.75">
      <c r="S4722" s="7"/>
    </row>
    <row r="4723" ht="12.75">
      <c r="S4723" s="7"/>
    </row>
    <row r="4724" ht="12.75">
      <c r="S4724" s="7"/>
    </row>
    <row r="4725" ht="12.75">
      <c r="S4725" s="7"/>
    </row>
    <row r="4726" ht="12.75">
      <c r="S4726" s="7"/>
    </row>
    <row r="4727" ht="12.75">
      <c r="S4727" s="7"/>
    </row>
    <row r="4728" ht="12.75">
      <c r="S4728" s="7"/>
    </row>
    <row r="4729" ht="12.75">
      <c r="S4729" s="7"/>
    </row>
    <row r="4730" ht="12.75">
      <c r="S4730" s="7"/>
    </row>
    <row r="4731" ht="12.75">
      <c r="S4731" s="7"/>
    </row>
    <row r="4732" ht="12.75">
      <c r="S4732" s="7"/>
    </row>
    <row r="4733" ht="12.75">
      <c r="S4733" s="7"/>
    </row>
    <row r="4734" ht="12.75">
      <c r="S4734" s="7"/>
    </row>
    <row r="4735" ht="12.75">
      <c r="S4735" s="7"/>
    </row>
    <row r="4736" ht="12.75">
      <c r="S4736" s="7"/>
    </row>
    <row r="4737" ht="12.75">
      <c r="S4737" s="7"/>
    </row>
    <row r="4738" ht="12.75">
      <c r="S4738" s="7"/>
    </row>
    <row r="4739" ht="12.75">
      <c r="S4739" s="7"/>
    </row>
    <row r="4740" ht="12.75">
      <c r="S4740" s="7"/>
    </row>
    <row r="4741" ht="12.75">
      <c r="S4741" s="7"/>
    </row>
    <row r="4742" ht="12.75">
      <c r="S4742" s="7"/>
    </row>
    <row r="4743" ht="12.75">
      <c r="S4743" s="7"/>
    </row>
    <row r="4744" ht="12.75">
      <c r="S4744" s="7"/>
    </row>
    <row r="4745" ht="12.75">
      <c r="S4745" s="7"/>
    </row>
    <row r="4746" ht="12.75">
      <c r="S4746" s="7"/>
    </row>
    <row r="4747" ht="12.75">
      <c r="S4747" s="7"/>
    </row>
    <row r="4748" ht="12.75">
      <c r="S4748" s="7"/>
    </row>
    <row r="4749" ht="12.75">
      <c r="S4749" s="7"/>
    </row>
    <row r="4750" ht="12.75">
      <c r="S4750" s="7"/>
    </row>
    <row r="4751" ht="12.75">
      <c r="S4751" s="7"/>
    </row>
    <row r="4752" ht="12.75">
      <c r="S4752" s="7"/>
    </row>
    <row r="4753" ht="12.75">
      <c r="S4753" s="7"/>
    </row>
    <row r="4754" ht="12.75">
      <c r="S4754" s="7"/>
    </row>
    <row r="4755" ht="12.75">
      <c r="S4755" s="7"/>
    </row>
    <row r="4756" ht="12.75">
      <c r="S4756" s="7"/>
    </row>
    <row r="4757" ht="12.75">
      <c r="S4757" s="7"/>
    </row>
    <row r="4758" ht="12.75">
      <c r="S4758" s="7"/>
    </row>
    <row r="4759" ht="12.75">
      <c r="S4759" s="7"/>
    </row>
    <row r="4760" ht="12.75">
      <c r="S4760" s="7"/>
    </row>
    <row r="4761" ht="12.75">
      <c r="S4761" s="7"/>
    </row>
    <row r="4762" ht="12.75">
      <c r="S4762" s="7"/>
    </row>
    <row r="4763" ht="12.75">
      <c r="S4763" s="7"/>
    </row>
    <row r="4764" ht="12.75">
      <c r="S4764" s="7"/>
    </row>
    <row r="4765" ht="12.75">
      <c r="S4765" s="7"/>
    </row>
    <row r="4766" ht="12.75">
      <c r="S4766" s="7"/>
    </row>
    <row r="4767" ht="12.75">
      <c r="S4767" s="7"/>
    </row>
    <row r="4768" ht="12.75">
      <c r="S4768" s="7"/>
    </row>
    <row r="4769" ht="12.75">
      <c r="S4769" s="7"/>
    </row>
    <row r="4770" ht="12.75">
      <c r="S4770" s="7"/>
    </row>
    <row r="4771" ht="12.75">
      <c r="S4771" s="7"/>
    </row>
    <row r="4772" ht="12.75">
      <c r="S4772" s="7"/>
    </row>
    <row r="4773" ht="12.75">
      <c r="S4773" s="7"/>
    </row>
    <row r="4774" ht="12.75">
      <c r="S4774" s="7"/>
    </row>
    <row r="4775" ht="12.75">
      <c r="S4775" s="7"/>
    </row>
    <row r="4776" ht="12.75">
      <c r="S4776" s="7"/>
    </row>
    <row r="4777" ht="12.75">
      <c r="S4777" s="7"/>
    </row>
    <row r="4778" ht="12.75">
      <c r="S4778" s="7"/>
    </row>
    <row r="4779" ht="12.75">
      <c r="S4779" s="7"/>
    </row>
    <row r="4780" ht="12.75">
      <c r="S4780" s="7"/>
    </row>
    <row r="4781" ht="12.75">
      <c r="S4781" s="7"/>
    </row>
    <row r="4782" ht="12.75">
      <c r="S4782" s="7"/>
    </row>
    <row r="4783" ht="12.75">
      <c r="S4783" s="7"/>
    </row>
    <row r="4784" ht="12.75">
      <c r="S4784" s="7"/>
    </row>
    <row r="4785" ht="12.75">
      <c r="S4785" s="7"/>
    </row>
    <row r="4786" ht="12.75">
      <c r="S4786" s="7"/>
    </row>
    <row r="4787" ht="12.75">
      <c r="S4787" s="7"/>
    </row>
    <row r="4788" ht="12.75">
      <c r="S4788" s="7"/>
    </row>
    <row r="4789" ht="12.75">
      <c r="S4789" s="7"/>
    </row>
    <row r="4790" ht="12.75">
      <c r="S4790" s="7"/>
    </row>
    <row r="4791" ht="12.75">
      <c r="S4791" s="7"/>
    </row>
    <row r="4792" ht="12.75">
      <c r="S4792" s="7"/>
    </row>
    <row r="4793" ht="12.75">
      <c r="S4793" s="7"/>
    </row>
    <row r="4794" ht="12.75">
      <c r="S4794" s="7"/>
    </row>
    <row r="4795" ht="12.75">
      <c r="S4795" s="7"/>
    </row>
    <row r="4796" ht="12.75">
      <c r="S4796" s="7"/>
    </row>
    <row r="4797" ht="12.75">
      <c r="S4797" s="7"/>
    </row>
    <row r="4798" ht="12.75">
      <c r="S4798" s="7"/>
    </row>
    <row r="4799" ht="12.75">
      <c r="S4799" s="7"/>
    </row>
    <row r="4800" ht="12.75">
      <c r="S4800" s="7"/>
    </row>
    <row r="4801" ht="12.75">
      <c r="S4801" s="7"/>
    </row>
    <row r="4802" ht="12.75">
      <c r="S4802" s="7"/>
    </row>
    <row r="4803" ht="12.75">
      <c r="S4803" s="7"/>
    </row>
    <row r="4804" ht="12.75">
      <c r="S4804" s="7"/>
    </row>
    <row r="4805" ht="12.75">
      <c r="S4805" s="7"/>
    </row>
    <row r="4806" ht="12.75">
      <c r="S4806" s="7"/>
    </row>
    <row r="4807" ht="12.75">
      <c r="S4807" s="7"/>
    </row>
    <row r="4808" ht="12.75">
      <c r="S4808" s="7"/>
    </row>
    <row r="4809" ht="12.75">
      <c r="S4809" s="7"/>
    </row>
    <row r="4810" ht="12.75">
      <c r="S4810" s="7"/>
    </row>
    <row r="4811" ht="12.75">
      <c r="S4811" s="7"/>
    </row>
    <row r="4812" ht="12.75">
      <c r="S4812" s="7"/>
    </row>
    <row r="4813" ht="12.75">
      <c r="S4813" s="7"/>
    </row>
    <row r="4814" ht="12.75">
      <c r="S4814" s="7"/>
    </row>
    <row r="4815" ht="12.75">
      <c r="S4815" s="7"/>
    </row>
    <row r="4816" ht="12.75">
      <c r="S4816" s="7"/>
    </row>
    <row r="4817" ht="12.75">
      <c r="S4817" s="7"/>
    </row>
    <row r="4818" ht="12.75">
      <c r="S4818" s="7"/>
    </row>
    <row r="4819" ht="12.75">
      <c r="S4819" s="7"/>
    </row>
    <row r="4820" ht="12.75">
      <c r="S4820" s="7"/>
    </row>
    <row r="4821" ht="12.75">
      <c r="S4821" s="7"/>
    </row>
    <row r="4822" ht="12.75">
      <c r="S4822" s="7"/>
    </row>
    <row r="4823" ht="12.75">
      <c r="S4823" s="7"/>
    </row>
    <row r="4824" ht="12.75">
      <c r="S4824" s="7"/>
    </row>
    <row r="4825" ht="12.75">
      <c r="S4825" s="7"/>
    </row>
    <row r="4826" ht="12.75">
      <c r="S4826" s="7"/>
    </row>
    <row r="4827" ht="12.75">
      <c r="S4827" s="7"/>
    </row>
    <row r="4828" ht="12.75">
      <c r="S4828" s="7"/>
    </row>
    <row r="4829" ht="12.75">
      <c r="S4829" s="7"/>
    </row>
    <row r="4830" ht="12.75">
      <c r="S4830" s="7"/>
    </row>
    <row r="4831" ht="12.75">
      <c r="S4831" s="7"/>
    </row>
    <row r="4832" ht="12.75">
      <c r="S4832" s="7"/>
    </row>
    <row r="4833" ht="12.75">
      <c r="S4833" s="7"/>
    </row>
    <row r="4834" ht="12.75">
      <c r="S4834" s="7"/>
    </row>
    <row r="4835" ht="12.75">
      <c r="S4835" s="7"/>
    </row>
    <row r="4836" ht="12.75">
      <c r="S4836" s="7"/>
    </row>
    <row r="4837" ht="12.75">
      <c r="S4837" s="7"/>
    </row>
    <row r="4838" ht="12.75">
      <c r="S4838" s="7"/>
    </row>
    <row r="4839" ht="12.75">
      <c r="S4839" s="7"/>
    </row>
    <row r="4840" ht="12.75">
      <c r="S4840" s="7"/>
    </row>
    <row r="4841" ht="12.75">
      <c r="S4841" s="7"/>
    </row>
    <row r="4842" ht="12.75">
      <c r="S4842" s="7"/>
    </row>
    <row r="4843" ht="12.75">
      <c r="S4843" s="7"/>
    </row>
    <row r="4844" ht="12.75">
      <c r="S4844" s="7"/>
    </row>
    <row r="4845" ht="12.75">
      <c r="S4845" s="7"/>
    </row>
    <row r="4846" ht="12.75">
      <c r="S4846" s="7"/>
    </row>
    <row r="4847" ht="12.75">
      <c r="S4847" s="7"/>
    </row>
    <row r="4848" ht="12.75">
      <c r="S4848" s="7"/>
    </row>
    <row r="4849" ht="12.75">
      <c r="S4849" s="7"/>
    </row>
    <row r="4850" ht="12.75">
      <c r="S4850" s="7"/>
    </row>
    <row r="4851" ht="12.75">
      <c r="S4851" s="7"/>
    </row>
    <row r="4852" ht="12.75">
      <c r="S4852" s="7"/>
    </row>
    <row r="4853" ht="12.75">
      <c r="S4853" s="7"/>
    </row>
    <row r="4854" ht="12.75">
      <c r="S4854" s="7"/>
    </row>
    <row r="4855" ht="12.75">
      <c r="S4855" s="7"/>
    </row>
    <row r="4856" ht="12.75">
      <c r="S4856" s="7"/>
    </row>
    <row r="4857" ht="12.75">
      <c r="S4857" s="7"/>
    </row>
    <row r="4858" ht="12.75">
      <c r="S4858" s="7"/>
    </row>
    <row r="4859" ht="12.75">
      <c r="S4859" s="7"/>
    </row>
    <row r="4860" ht="12.75">
      <c r="S4860" s="7"/>
    </row>
    <row r="4861" ht="12.75">
      <c r="S4861" s="7"/>
    </row>
    <row r="4862" ht="12.75">
      <c r="S4862" s="7"/>
    </row>
    <row r="4863" ht="12.75">
      <c r="S4863" s="7"/>
    </row>
    <row r="4864" ht="12.75">
      <c r="S4864" s="7"/>
    </row>
    <row r="4865" ht="12.75">
      <c r="S4865" s="7"/>
    </row>
    <row r="4866" ht="12.75">
      <c r="S4866" s="7"/>
    </row>
    <row r="4867" ht="12.75">
      <c r="S4867" s="7"/>
    </row>
    <row r="4868" ht="12.75">
      <c r="S4868" s="7"/>
    </row>
    <row r="4869" ht="12.75">
      <c r="S4869" s="7"/>
    </row>
    <row r="4870" ht="12.75">
      <c r="S4870" s="7"/>
    </row>
    <row r="4871" ht="12.75">
      <c r="S4871" s="7"/>
    </row>
    <row r="4872" ht="12.75">
      <c r="S4872" s="7"/>
    </row>
    <row r="4873" ht="12.75">
      <c r="S4873" s="7"/>
    </row>
    <row r="4874" ht="12.75">
      <c r="S4874" s="7"/>
    </row>
    <row r="4875" ht="12.75">
      <c r="S4875" s="7"/>
    </row>
    <row r="4876" ht="12.75">
      <c r="S4876" s="7"/>
    </row>
    <row r="4877" ht="12.75">
      <c r="S4877" s="7"/>
    </row>
    <row r="4878" ht="12.75">
      <c r="S4878" s="7"/>
    </row>
    <row r="4879" ht="12.75">
      <c r="S4879" s="7"/>
    </row>
    <row r="4880" ht="12.75">
      <c r="S4880" s="7"/>
    </row>
    <row r="4881" ht="12.75">
      <c r="S4881" s="7"/>
    </row>
    <row r="4882" ht="12.75">
      <c r="S4882" s="7"/>
    </row>
    <row r="4883" ht="12.75">
      <c r="S4883" s="7"/>
    </row>
    <row r="4884" ht="12.75">
      <c r="S4884" s="7"/>
    </row>
    <row r="4885" ht="12.75">
      <c r="S4885" s="7"/>
    </row>
    <row r="4886" ht="12.75">
      <c r="S4886" s="7"/>
    </row>
    <row r="4887" ht="12.75">
      <c r="S4887" s="7"/>
    </row>
    <row r="4888" ht="12.75">
      <c r="S4888" s="7"/>
    </row>
    <row r="4889" ht="12.75">
      <c r="S4889" s="7"/>
    </row>
    <row r="4890" ht="12.75">
      <c r="S4890" s="7"/>
    </row>
    <row r="4891" ht="12.75">
      <c r="S4891" s="7"/>
    </row>
    <row r="4892" ht="12.75">
      <c r="S4892" s="7"/>
    </row>
    <row r="4893" ht="12.75">
      <c r="S4893" s="7"/>
    </row>
    <row r="4894" ht="12.75">
      <c r="S4894" s="7"/>
    </row>
    <row r="4895" ht="12.75">
      <c r="S4895" s="7"/>
    </row>
    <row r="4896" ht="12.75">
      <c r="S4896" s="7"/>
    </row>
    <row r="4897" ht="12.75">
      <c r="S4897" s="7"/>
    </row>
    <row r="4898" ht="12.75">
      <c r="S4898" s="7"/>
    </row>
    <row r="4899" ht="12.75">
      <c r="S4899" s="7"/>
    </row>
    <row r="4900" ht="12.75">
      <c r="S4900" s="7"/>
    </row>
    <row r="4901" ht="12.75">
      <c r="S4901" s="7"/>
    </row>
    <row r="4902" ht="12.75">
      <c r="S4902" s="7"/>
    </row>
    <row r="4903" ht="12.75">
      <c r="S4903" s="7"/>
    </row>
    <row r="4904" ht="12.75">
      <c r="S4904" s="7"/>
    </row>
    <row r="4905" ht="12.75">
      <c r="S4905" s="7"/>
    </row>
    <row r="4906" ht="12.75">
      <c r="S4906" s="7"/>
    </row>
    <row r="4907" ht="12.75">
      <c r="S4907" s="7"/>
    </row>
    <row r="4908" ht="12.75">
      <c r="S4908" s="7"/>
    </row>
    <row r="4909" ht="12.75">
      <c r="S4909" s="7"/>
    </row>
    <row r="4910" ht="12.75">
      <c r="S4910" s="7"/>
    </row>
    <row r="4911" ht="12.75">
      <c r="S4911" s="7"/>
    </row>
    <row r="4912" ht="12.75">
      <c r="S4912" s="7"/>
    </row>
    <row r="4913" ht="12.75">
      <c r="S4913" s="7"/>
    </row>
    <row r="4914" ht="12.75">
      <c r="S4914" s="7"/>
    </row>
    <row r="4915" ht="12.75">
      <c r="S4915" s="7"/>
    </row>
    <row r="4916" ht="12.75">
      <c r="S4916" s="7"/>
    </row>
    <row r="4917" ht="12.75">
      <c r="S4917" s="7"/>
    </row>
    <row r="4918" ht="12.75">
      <c r="S4918" s="7"/>
    </row>
    <row r="4919" ht="12.75">
      <c r="S4919" s="7"/>
    </row>
    <row r="4920" ht="12.75">
      <c r="S4920" s="7"/>
    </row>
    <row r="4921" ht="12.75">
      <c r="S4921" s="7"/>
    </row>
    <row r="4922" ht="12.75">
      <c r="S4922" s="7"/>
    </row>
    <row r="4923" ht="12.75">
      <c r="S4923" s="7"/>
    </row>
    <row r="4924" ht="12.75">
      <c r="S4924" s="7"/>
    </row>
    <row r="4925" ht="12.75">
      <c r="S4925" s="7"/>
    </row>
    <row r="4926" ht="12.75">
      <c r="S4926" s="7"/>
    </row>
    <row r="4927" ht="12.75">
      <c r="S4927" s="7"/>
    </row>
    <row r="4928" ht="12.75">
      <c r="S4928" s="7"/>
    </row>
    <row r="4929" ht="12.75">
      <c r="S4929" s="7"/>
    </row>
    <row r="4930" ht="12.75">
      <c r="S4930" s="7"/>
    </row>
    <row r="4931" ht="12.75">
      <c r="S4931" s="7"/>
    </row>
    <row r="4932" ht="12.75">
      <c r="S4932" s="7"/>
    </row>
    <row r="4933" ht="12.75">
      <c r="S4933" s="7"/>
    </row>
    <row r="4934" ht="12.75">
      <c r="S4934" s="7"/>
    </row>
    <row r="4935" ht="12.75">
      <c r="S4935" s="7"/>
    </row>
    <row r="4936" ht="12.75">
      <c r="S4936" s="7"/>
    </row>
    <row r="4937" ht="12.75">
      <c r="S4937" s="7"/>
    </row>
    <row r="4938" ht="12.75">
      <c r="S4938" s="7"/>
    </row>
    <row r="4939" ht="12.75">
      <c r="S4939" s="7"/>
    </row>
    <row r="4940" ht="12.75">
      <c r="S4940" s="7"/>
    </row>
    <row r="4941" ht="12.75">
      <c r="S4941" s="7"/>
    </row>
    <row r="4942" ht="12.75">
      <c r="S4942" s="7"/>
    </row>
    <row r="4943" ht="12.75">
      <c r="S4943" s="7"/>
    </row>
    <row r="4944" ht="12.75">
      <c r="S4944" s="7"/>
    </row>
    <row r="4945" ht="12.75">
      <c r="S4945" s="7"/>
    </row>
    <row r="4946" ht="12.75">
      <c r="S4946" s="7"/>
    </row>
    <row r="4947" ht="12.75">
      <c r="S4947" s="7"/>
    </row>
    <row r="4948" ht="12.75">
      <c r="S4948" s="7"/>
    </row>
    <row r="4949" ht="12.75">
      <c r="S4949" s="7"/>
    </row>
    <row r="4950" ht="12.75">
      <c r="S4950" s="7"/>
    </row>
    <row r="4951" ht="12.75">
      <c r="S4951" s="7"/>
    </row>
    <row r="4952" ht="12.75">
      <c r="S4952" s="7"/>
    </row>
    <row r="4953" ht="12.75">
      <c r="S4953" s="7"/>
    </row>
    <row r="4954" ht="12.75">
      <c r="S4954" s="7"/>
    </row>
    <row r="4955" ht="12.75">
      <c r="S4955" s="7"/>
    </row>
    <row r="4956" ht="12.75">
      <c r="S4956" s="7"/>
    </row>
    <row r="4957" ht="12.75">
      <c r="S4957" s="7"/>
    </row>
    <row r="4958" ht="12.75">
      <c r="S4958" s="7"/>
    </row>
    <row r="4959" ht="12.75">
      <c r="S4959" s="7"/>
    </row>
    <row r="4960" ht="12.75">
      <c r="S4960" s="7"/>
    </row>
    <row r="4961" ht="12.75">
      <c r="S4961" s="7"/>
    </row>
    <row r="4962" ht="12.75">
      <c r="S4962" s="7"/>
    </row>
    <row r="4963" ht="12.75">
      <c r="S4963" s="7"/>
    </row>
    <row r="4964" ht="12.75">
      <c r="S4964" s="7"/>
    </row>
    <row r="4965" ht="12.75">
      <c r="S4965" s="7"/>
    </row>
    <row r="4966" ht="12.75">
      <c r="S4966" s="7"/>
    </row>
    <row r="4967" ht="12.75">
      <c r="S4967" s="7"/>
    </row>
    <row r="4968" ht="12.75">
      <c r="S4968" s="7"/>
    </row>
    <row r="4969" ht="12.75">
      <c r="S4969" s="7"/>
    </row>
    <row r="4970" ht="12.75">
      <c r="S4970" s="7"/>
    </row>
    <row r="4971" ht="12.75">
      <c r="S4971" s="7"/>
    </row>
    <row r="4972" ht="12.75">
      <c r="S4972" s="7"/>
    </row>
    <row r="4973" ht="12.75">
      <c r="S4973" s="7"/>
    </row>
    <row r="4974" ht="12.75">
      <c r="S4974" s="7"/>
    </row>
    <row r="4975" ht="12.75">
      <c r="S4975" s="7"/>
    </row>
    <row r="4976" ht="12.75">
      <c r="S4976" s="7"/>
    </row>
    <row r="4977" ht="12.75">
      <c r="S4977" s="7"/>
    </row>
    <row r="4978" ht="12.75">
      <c r="S4978" s="7"/>
    </row>
    <row r="4979" ht="12.75">
      <c r="S4979" s="7"/>
    </row>
    <row r="4980" ht="12.75">
      <c r="S4980" s="7"/>
    </row>
    <row r="4981" ht="12.75">
      <c r="S4981" s="7"/>
    </row>
    <row r="4982" ht="12.75">
      <c r="S4982" s="7"/>
    </row>
    <row r="4983" ht="12.75">
      <c r="S4983" s="7"/>
    </row>
    <row r="4984" ht="12.75">
      <c r="S4984" s="7"/>
    </row>
    <row r="4985" ht="12.75">
      <c r="S4985" s="7"/>
    </row>
    <row r="4986" ht="12.75">
      <c r="S4986" s="7"/>
    </row>
    <row r="4987" ht="12.75">
      <c r="S4987" s="7"/>
    </row>
    <row r="4988" ht="12.75">
      <c r="S4988" s="7"/>
    </row>
    <row r="4989" ht="12.75">
      <c r="S4989" s="7"/>
    </row>
    <row r="4990" ht="12.75">
      <c r="S4990" s="7"/>
    </row>
    <row r="4991" ht="12.75">
      <c r="S4991" s="7"/>
    </row>
    <row r="4992" ht="12.75">
      <c r="S4992" s="7"/>
    </row>
    <row r="4993" ht="12.75">
      <c r="S4993" s="7"/>
    </row>
    <row r="4994" ht="12.75">
      <c r="S4994" s="7"/>
    </row>
    <row r="4995" ht="12.75">
      <c r="S4995" s="7"/>
    </row>
    <row r="4996" ht="12.75">
      <c r="S4996" s="7"/>
    </row>
    <row r="4997" ht="12.75">
      <c r="S4997" s="7"/>
    </row>
    <row r="4998" ht="12.75">
      <c r="S4998" s="7"/>
    </row>
    <row r="4999" ht="12.75">
      <c r="S4999" s="7"/>
    </row>
    <row r="5000" ht="12.75">
      <c r="S5000" s="7"/>
    </row>
    <row r="5001" ht="12.75">
      <c r="S5001" s="7"/>
    </row>
    <row r="5002" ht="12.75">
      <c r="S5002" s="7"/>
    </row>
    <row r="5003" ht="12.75">
      <c r="S5003" s="7"/>
    </row>
    <row r="5004" ht="12.75">
      <c r="S5004" s="7"/>
    </row>
    <row r="5005" ht="12.75">
      <c r="S5005" s="7"/>
    </row>
    <row r="5006" ht="12.75">
      <c r="S5006" s="7"/>
    </row>
    <row r="5007" ht="12.75">
      <c r="S5007" s="7"/>
    </row>
    <row r="5008" ht="12.75">
      <c r="S5008" s="7"/>
    </row>
    <row r="5009" ht="12.75">
      <c r="S5009" s="7"/>
    </row>
    <row r="5010" ht="12.75">
      <c r="S5010" s="7"/>
    </row>
    <row r="5011" ht="12.75">
      <c r="S5011" s="7"/>
    </row>
    <row r="5012" ht="12.75">
      <c r="S5012" s="7"/>
    </row>
    <row r="5013" ht="12.75">
      <c r="S5013" s="7"/>
    </row>
    <row r="5014" ht="12.75">
      <c r="S5014" s="7"/>
    </row>
    <row r="5015" ht="12.75">
      <c r="S5015" s="7"/>
    </row>
    <row r="5016" ht="12.75">
      <c r="S5016" s="7"/>
    </row>
    <row r="5017" ht="12.75">
      <c r="S5017" s="7"/>
    </row>
    <row r="5018" ht="12.75">
      <c r="S5018" s="7"/>
    </row>
    <row r="5019" ht="12.75">
      <c r="S5019" s="7"/>
    </row>
    <row r="5020" ht="12.75">
      <c r="S5020" s="7"/>
    </row>
    <row r="5021" ht="12.75">
      <c r="S5021" s="7"/>
    </row>
    <row r="5022" ht="12.75">
      <c r="S5022" s="7"/>
    </row>
    <row r="5023" ht="12.75">
      <c r="S5023" s="7"/>
    </row>
    <row r="5024" ht="12.75">
      <c r="S5024" s="7"/>
    </row>
    <row r="5025" ht="12.75">
      <c r="S5025" s="7"/>
    </row>
    <row r="5026" ht="12.75">
      <c r="S5026" s="7"/>
    </row>
    <row r="5027" ht="12.75">
      <c r="S5027" s="7"/>
    </row>
    <row r="5028" ht="12.75">
      <c r="S5028" s="7"/>
    </row>
    <row r="5029" ht="12.75">
      <c r="S5029" s="7"/>
    </row>
    <row r="5030" ht="12.75">
      <c r="S5030" s="7"/>
    </row>
    <row r="5031" ht="12.75">
      <c r="S5031" s="7"/>
    </row>
    <row r="5032" ht="12.75">
      <c r="S5032" s="7"/>
    </row>
    <row r="5033" ht="12.75">
      <c r="S5033" s="7"/>
    </row>
    <row r="5034" ht="12.75">
      <c r="S5034" s="7"/>
    </row>
    <row r="5035" ht="12.75">
      <c r="S5035" s="7"/>
    </row>
    <row r="5036" ht="12.75">
      <c r="S5036" s="7"/>
    </row>
    <row r="5037" ht="12.75">
      <c r="S5037" s="7"/>
    </row>
    <row r="5038" ht="12.75">
      <c r="S5038" s="7"/>
    </row>
    <row r="5039" ht="12.75">
      <c r="S5039" s="7"/>
    </row>
    <row r="5040" ht="12.75">
      <c r="S5040" s="7"/>
    </row>
    <row r="5041" ht="12.75">
      <c r="S5041" s="7"/>
    </row>
    <row r="5042" ht="12.75">
      <c r="S5042" s="7"/>
    </row>
    <row r="5043" ht="12.75">
      <c r="S5043" s="7"/>
    </row>
    <row r="5044" ht="12.75">
      <c r="S5044" s="7"/>
    </row>
    <row r="5045" ht="12.75">
      <c r="S5045" s="7"/>
    </row>
    <row r="5046" ht="12.75">
      <c r="S5046" s="7"/>
    </row>
    <row r="5047" ht="12.75">
      <c r="S5047" s="7"/>
    </row>
    <row r="5048" ht="12.75">
      <c r="S5048" s="7"/>
    </row>
    <row r="5049" ht="12.75">
      <c r="S5049" s="7"/>
    </row>
    <row r="5050" ht="12.75">
      <c r="S5050" s="7"/>
    </row>
    <row r="5051" ht="12.75">
      <c r="S5051" s="7"/>
    </row>
    <row r="5052" ht="12.75">
      <c r="S5052" s="7"/>
    </row>
    <row r="5053" ht="12.75">
      <c r="S5053" s="7"/>
    </row>
    <row r="5054" ht="12.75">
      <c r="S5054" s="7"/>
    </row>
    <row r="5055" ht="12.75">
      <c r="S5055" s="7"/>
    </row>
    <row r="5056" ht="12.75">
      <c r="S5056" s="7"/>
    </row>
    <row r="5057" ht="12.75">
      <c r="S5057" s="7"/>
    </row>
    <row r="5058" ht="12.75">
      <c r="S5058" s="7"/>
    </row>
    <row r="5059" ht="12.75">
      <c r="S5059" s="7"/>
    </row>
    <row r="5060" ht="12.75">
      <c r="S5060" s="7"/>
    </row>
    <row r="5061" ht="12.75">
      <c r="S5061" s="7"/>
    </row>
    <row r="5062" ht="12.75">
      <c r="S5062" s="7"/>
    </row>
    <row r="5063" ht="12.75">
      <c r="S5063" s="7"/>
    </row>
    <row r="5064" ht="12.75">
      <c r="S5064" s="7"/>
    </row>
    <row r="5065" ht="12.75">
      <c r="S5065" s="7"/>
    </row>
    <row r="5066" ht="12.75">
      <c r="S5066" s="7"/>
    </row>
    <row r="5067" ht="12.75">
      <c r="S5067" s="7"/>
    </row>
    <row r="5068" ht="12.75">
      <c r="S5068" s="7"/>
    </row>
    <row r="5069" ht="12.75">
      <c r="S5069" s="7"/>
    </row>
    <row r="5070" ht="12.75">
      <c r="S5070" s="7"/>
    </row>
    <row r="5071" ht="12.75">
      <c r="S5071" s="7"/>
    </row>
    <row r="5072" ht="12.75">
      <c r="S5072" s="7"/>
    </row>
    <row r="5073" ht="12.75">
      <c r="S5073" s="7"/>
    </row>
    <row r="5074" ht="12.75">
      <c r="S5074" s="7"/>
    </row>
    <row r="5075" ht="12.75">
      <c r="S5075" s="7"/>
    </row>
    <row r="5076" ht="12.75">
      <c r="S5076" s="7"/>
    </row>
    <row r="5077" ht="12.75">
      <c r="S5077" s="7"/>
    </row>
    <row r="5078" ht="12.75">
      <c r="S5078" s="7"/>
    </row>
    <row r="5079" ht="12.75">
      <c r="S5079" s="7"/>
    </row>
    <row r="5080" ht="12.75">
      <c r="S5080" s="7"/>
    </row>
    <row r="5081" ht="12.75">
      <c r="S5081" s="7"/>
    </row>
    <row r="5082" ht="12.75">
      <c r="S5082" s="7"/>
    </row>
    <row r="5083" ht="12.75">
      <c r="S5083" s="7"/>
    </row>
    <row r="5084" ht="12.75">
      <c r="S5084" s="7"/>
    </row>
    <row r="5085" ht="12.75">
      <c r="S5085" s="7"/>
    </row>
    <row r="5086" ht="12.75">
      <c r="S5086" s="7"/>
    </row>
    <row r="5087" ht="12.75">
      <c r="S5087" s="7"/>
    </row>
    <row r="5088" ht="12.75">
      <c r="S5088" s="7"/>
    </row>
    <row r="5089" ht="12.75">
      <c r="S5089" s="7"/>
    </row>
    <row r="5090" ht="12.75">
      <c r="S5090" s="7"/>
    </row>
    <row r="5091" ht="12.75">
      <c r="S5091" s="7"/>
    </row>
    <row r="5092" ht="12.75">
      <c r="S5092" s="7"/>
    </row>
    <row r="5093" ht="12.75">
      <c r="S5093" s="7"/>
    </row>
    <row r="5094" ht="12.75">
      <c r="S5094" s="7"/>
    </row>
    <row r="5095" ht="12.75">
      <c r="S5095" s="7"/>
    </row>
    <row r="5096" ht="12.75">
      <c r="S5096" s="7"/>
    </row>
    <row r="5097" ht="12.75">
      <c r="S5097" s="7"/>
    </row>
    <row r="5098" ht="12.75">
      <c r="S5098" s="7"/>
    </row>
    <row r="5099" ht="12.75">
      <c r="S5099" s="7"/>
    </row>
    <row r="5100" ht="12.75">
      <c r="S5100" s="7"/>
    </row>
    <row r="5101" ht="12.75">
      <c r="S5101" s="7"/>
    </row>
    <row r="5102" ht="12.75">
      <c r="S5102" s="7"/>
    </row>
    <row r="5103" ht="12.75">
      <c r="S5103" s="7"/>
    </row>
    <row r="5104" ht="12.75">
      <c r="S5104" s="7"/>
    </row>
    <row r="5105" ht="12.75">
      <c r="S5105" s="7"/>
    </row>
    <row r="5106" ht="12.75">
      <c r="S5106" s="7"/>
    </row>
    <row r="5107" ht="12.75">
      <c r="S5107" s="7"/>
    </row>
    <row r="5108" ht="12.75">
      <c r="S5108" s="7"/>
    </row>
    <row r="5109" ht="12.75">
      <c r="S5109" s="7"/>
    </row>
    <row r="5110" ht="12.75">
      <c r="S5110" s="7"/>
    </row>
    <row r="5111" ht="12.75">
      <c r="S5111" s="7"/>
    </row>
    <row r="5112" ht="12.75">
      <c r="S5112" s="7"/>
    </row>
    <row r="5113" ht="12.75">
      <c r="S5113" s="7"/>
    </row>
    <row r="5114" ht="12.75">
      <c r="S5114" s="7"/>
    </row>
    <row r="5115" ht="12.75">
      <c r="S5115" s="7"/>
    </row>
    <row r="5116" ht="12.75">
      <c r="S5116" s="7"/>
    </row>
    <row r="5117" ht="12.75">
      <c r="S5117" s="7"/>
    </row>
    <row r="5118" ht="12.75">
      <c r="S5118" s="7"/>
    </row>
    <row r="5119" ht="12.75">
      <c r="S5119" s="7"/>
    </row>
    <row r="5120" ht="12.75">
      <c r="S5120" s="7"/>
    </row>
    <row r="5121" ht="12.75">
      <c r="S5121" s="7"/>
    </row>
    <row r="5122" ht="12.75">
      <c r="S5122" s="7"/>
    </row>
    <row r="5123" ht="12.75">
      <c r="S5123" s="7"/>
    </row>
    <row r="5124" ht="12.75">
      <c r="S5124" s="7"/>
    </row>
    <row r="5125" ht="12.75">
      <c r="S5125" s="7"/>
    </row>
    <row r="5126" ht="12.75">
      <c r="S5126" s="7"/>
    </row>
    <row r="5127" ht="12.75">
      <c r="S5127" s="7"/>
    </row>
    <row r="5128" ht="12.75">
      <c r="S5128" s="7"/>
    </row>
    <row r="5129" ht="12.75">
      <c r="S5129" s="7"/>
    </row>
    <row r="5130" ht="12.75">
      <c r="S5130" s="7"/>
    </row>
    <row r="5131" ht="12.75">
      <c r="S5131" s="7"/>
    </row>
    <row r="5132" ht="12.75">
      <c r="S5132" s="7"/>
    </row>
    <row r="5133" ht="12.75">
      <c r="S5133" s="7"/>
    </row>
    <row r="5134" ht="12.75">
      <c r="S5134" s="7"/>
    </row>
    <row r="5135" ht="12.75">
      <c r="S5135" s="7"/>
    </row>
    <row r="5136" ht="12.75">
      <c r="S5136" s="7"/>
    </row>
    <row r="5137" ht="12.75">
      <c r="S5137" s="7"/>
    </row>
    <row r="5138" ht="12.75">
      <c r="S5138" s="7"/>
    </row>
    <row r="5139" ht="12.75">
      <c r="S5139" s="7"/>
    </row>
    <row r="5140" ht="12.75">
      <c r="S5140" s="7"/>
    </row>
    <row r="5141" ht="12.75">
      <c r="S5141" s="7"/>
    </row>
    <row r="5142" ht="12.75">
      <c r="S5142" s="7"/>
    </row>
    <row r="5143" ht="12.75">
      <c r="S5143" s="7"/>
    </row>
    <row r="5144" ht="12.75">
      <c r="S5144" s="7"/>
    </row>
    <row r="5145" ht="12.75">
      <c r="S5145" s="7"/>
    </row>
    <row r="5146" ht="12.75">
      <c r="S5146" s="7"/>
    </row>
    <row r="5147" ht="12.75">
      <c r="S5147" s="7"/>
    </row>
    <row r="5148" ht="12.75">
      <c r="S5148" s="7"/>
    </row>
    <row r="5149" ht="12.75">
      <c r="S5149" s="7"/>
    </row>
    <row r="5150" ht="12.75">
      <c r="S5150" s="7"/>
    </row>
    <row r="5151" ht="12.75">
      <c r="S5151" s="7"/>
    </row>
    <row r="5152" ht="12.75">
      <c r="S5152" s="7"/>
    </row>
    <row r="5153" ht="12.75">
      <c r="S5153" s="7"/>
    </row>
    <row r="5154" ht="12.75">
      <c r="S5154" s="7"/>
    </row>
    <row r="5155" ht="12.75">
      <c r="S5155" s="7"/>
    </row>
    <row r="5156" ht="12.75">
      <c r="S5156" s="7"/>
    </row>
    <row r="5157" ht="12.75">
      <c r="S5157" s="7"/>
    </row>
    <row r="5158" ht="12.75">
      <c r="S5158" s="7"/>
    </row>
    <row r="5159" ht="12.75">
      <c r="S5159" s="7"/>
    </row>
    <row r="5160" ht="12.75">
      <c r="S5160" s="7"/>
    </row>
    <row r="5161" ht="12.75">
      <c r="S5161" s="7"/>
    </row>
    <row r="5162" ht="12.75">
      <c r="S5162" s="7"/>
    </row>
    <row r="5163" ht="12.75">
      <c r="S5163" s="7"/>
    </row>
    <row r="5164" ht="12.75">
      <c r="S5164" s="7"/>
    </row>
    <row r="5165" ht="12.75">
      <c r="S5165" s="7"/>
    </row>
    <row r="5166" ht="12.75">
      <c r="S5166" s="7"/>
    </row>
    <row r="5167" ht="12.75">
      <c r="S5167" s="7"/>
    </row>
    <row r="5168" ht="12.75">
      <c r="S5168" s="7"/>
    </row>
    <row r="5169" ht="12.75">
      <c r="S5169" s="7"/>
    </row>
    <row r="5170" ht="12.75">
      <c r="S5170" s="7"/>
    </row>
    <row r="5171" ht="12.75">
      <c r="S5171" s="7"/>
    </row>
    <row r="5172" ht="12.75">
      <c r="S5172" s="7"/>
    </row>
    <row r="5173" ht="12.75">
      <c r="S5173" s="7"/>
    </row>
    <row r="5174" ht="12.75">
      <c r="S5174" s="7"/>
    </row>
    <row r="5175" ht="12.75">
      <c r="S5175" s="7"/>
    </row>
    <row r="5176" ht="12.75">
      <c r="S5176" s="7"/>
    </row>
    <row r="5177" ht="12.75">
      <c r="S5177" s="7"/>
    </row>
    <row r="5178" ht="12.75">
      <c r="S5178" s="7"/>
    </row>
    <row r="5179" ht="12.75">
      <c r="S5179" s="7"/>
    </row>
    <row r="5180" ht="12.75">
      <c r="S5180" s="7"/>
    </row>
    <row r="5181" ht="12.75">
      <c r="S5181" s="7"/>
    </row>
    <row r="5182" ht="12.75">
      <c r="S5182" s="7"/>
    </row>
    <row r="5183" ht="12.75">
      <c r="S5183" s="7"/>
    </row>
    <row r="5184" ht="12.75">
      <c r="S5184" s="7"/>
    </row>
    <row r="5185" ht="12.75">
      <c r="S5185" s="7"/>
    </row>
    <row r="5186" ht="12.75">
      <c r="S5186" s="7"/>
    </row>
    <row r="5187" ht="12.75">
      <c r="S5187" s="7"/>
    </row>
    <row r="5188" ht="12.75">
      <c r="S5188" s="7"/>
    </row>
    <row r="5189" ht="12.75">
      <c r="S5189" s="7"/>
    </row>
    <row r="5190" ht="12.75">
      <c r="S5190" s="7"/>
    </row>
    <row r="5191" ht="12.75">
      <c r="S5191" s="7"/>
    </row>
    <row r="5192" ht="12.75">
      <c r="S5192" s="7"/>
    </row>
    <row r="5193" ht="12.75">
      <c r="S5193" s="7"/>
    </row>
    <row r="5194" ht="12.75">
      <c r="S5194" s="7"/>
    </row>
    <row r="5195" ht="12.75">
      <c r="S5195" s="7"/>
    </row>
    <row r="5196" ht="12.75">
      <c r="S5196" s="7"/>
    </row>
    <row r="5197" ht="12.75">
      <c r="S5197" s="7"/>
    </row>
    <row r="5198" ht="12.75">
      <c r="S5198" s="7"/>
    </row>
    <row r="5199" ht="12.75">
      <c r="S5199" s="7"/>
    </row>
    <row r="5200" ht="12.75">
      <c r="S5200" s="7"/>
    </row>
    <row r="5201" ht="12.75">
      <c r="S5201" s="7"/>
    </row>
    <row r="5202" ht="12.75">
      <c r="S5202" s="7"/>
    </row>
    <row r="5203" ht="12.75">
      <c r="S5203" s="7"/>
    </row>
    <row r="5204" ht="12.75">
      <c r="S5204" s="7"/>
    </row>
    <row r="5205" ht="12.75">
      <c r="S5205" s="7"/>
    </row>
    <row r="5206" ht="12.75">
      <c r="S5206" s="7"/>
    </row>
    <row r="5207" ht="12.75">
      <c r="S5207" s="7"/>
    </row>
    <row r="5208" ht="12.75">
      <c r="S5208" s="7"/>
    </row>
    <row r="5209" ht="12.75">
      <c r="S5209" s="7"/>
    </row>
    <row r="5210" ht="12.75">
      <c r="S5210" s="7"/>
    </row>
    <row r="5211" ht="12.75">
      <c r="S5211" s="7"/>
    </row>
    <row r="5212" ht="12.75">
      <c r="S5212" s="7"/>
    </row>
    <row r="5213" ht="12.75">
      <c r="S5213" s="7"/>
    </row>
    <row r="5214" ht="12.75">
      <c r="S5214" s="7"/>
    </row>
    <row r="5215" ht="12.75">
      <c r="S5215" s="7"/>
    </row>
    <row r="5216" ht="12.75">
      <c r="S5216" s="7"/>
    </row>
    <row r="5217" ht="12.75">
      <c r="S5217" s="7"/>
    </row>
    <row r="5218" ht="12.75">
      <c r="S5218" s="7"/>
    </row>
    <row r="5219" ht="12.75">
      <c r="S5219" s="7"/>
    </row>
    <row r="5220" ht="12.75">
      <c r="S5220" s="7"/>
    </row>
    <row r="5221" ht="12.75">
      <c r="S5221" s="7"/>
    </row>
    <row r="5222" ht="12.75">
      <c r="S5222" s="7"/>
    </row>
    <row r="5223" ht="12.75">
      <c r="S5223" s="7"/>
    </row>
    <row r="5224" ht="12.75">
      <c r="S5224" s="7"/>
    </row>
    <row r="5225" ht="12.75">
      <c r="S5225" s="7"/>
    </row>
    <row r="5226" ht="12.75">
      <c r="S5226" s="7"/>
    </row>
    <row r="5227" ht="12.75">
      <c r="S5227" s="7"/>
    </row>
    <row r="5228" ht="12.75">
      <c r="S5228" s="7"/>
    </row>
    <row r="5229" ht="12.75">
      <c r="S5229" s="7"/>
    </row>
    <row r="5230" ht="12.75">
      <c r="S5230" s="7"/>
    </row>
    <row r="5231" ht="12.75">
      <c r="S5231" s="7"/>
    </row>
    <row r="5232" ht="12.75">
      <c r="S5232" s="7"/>
    </row>
    <row r="5233" ht="12.75">
      <c r="S5233" s="7"/>
    </row>
    <row r="5234" ht="12.75">
      <c r="S5234" s="7"/>
    </row>
    <row r="5235" ht="12.75">
      <c r="S5235" s="7"/>
    </row>
    <row r="5236" ht="12.75">
      <c r="S5236" s="7"/>
    </row>
    <row r="5237" ht="12.75">
      <c r="S5237" s="7"/>
    </row>
    <row r="5238" ht="12.75">
      <c r="S5238" s="7"/>
    </row>
    <row r="5239" ht="12.75">
      <c r="S5239" s="7"/>
    </row>
    <row r="5240" ht="12.75">
      <c r="S5240" s="7"/>
    </row>
    <row r="5241" ht="12.75">
      <c r="S5241" s="7"/>
    </row>
    <row r="5242" ht="12.75">
      <c r="S5242" s="7"/>
    </row>
    <row r="5243" ht="12.75">
      <c r="S5243" s="7"/>
    </row>
    <row r="5244" ht="12.75">
      <c r="S5244" s="7"/>
    </row>
    <row r="5245" ht="12.75">
      <c r="S5245" s="7"/>
    </row>
    <row r="5246" ht="12.75">
      <c r="S5246" s="7"/>
    </row>
    <row r="5247" ht="12.75">
      <c r="S5247" s="7"/>
    </row>
    <row r="5248" ht="12.75">
      <c r="S5248" s="7"/>
    </row>
    <row r="5249" ht="12.75">
      <c r="S5249" s="7"/>
    </row>
    <row r="5250" ht="12.75">
      <c r="S5250" s="7"/>
    </row>
    <row r="5251" ht="12.75">
      <c r="S5251" s="7"/>
    </row>
    <row r="5252" ht="12.75">
      <c r="S5252" s="7"/>
    </row>
    <row r="5253" ht="12.75">
      <c r="S5253" s="7"/>
    </row>
    <row r="5254" ht="12.75">
      <c r="S5254" s="7"/>
    </row>
    <row r="5255" ht="12.75">
      <c r="S5255" s="7"/>
    </row>
    <row r="5256" ht="12.75">
      <c r="S5256" s="7"/>
    </row>
    <row r="5257" ht="12.75">
      <c r="S5257" s="7"/>
    </row>
    <row r="5258" ht="12.75">
      <c r="S5258" s="7"/>
    </row>
    <row r="5259" ht="12.75">
      <c r="S5259" s="7"/>
    </row>
    <row r="5260" ht="12.75">
      <c r="S5260" s="7"/>
    </row>
    <row r="5261" ht="12.75">
      <c r="S5261" s="7"/>
    </row>
    <row r="5262" ht="12.75">
      <c r="S5262" s="7"/>
    </row>
    <row r="5263" ht="12.75">
      <c r="S5263" s="7"/>
    </row>
    <row r="5264" ht="12.75">
      <c r="S5264" s="7"/>
    </row>
    <row r="5265" ht="12.75">
      <c r="S5265" s="7"/>
    </row>
    <row r="5266" ht="12.75">
      <c r="S5266" s="7"/>
    </row>
    <row r="5267" ht="12.75">
      <c r="S5267" s="7"/>
    </row>
    <row r="5268" ht="12.75">
      <c r="S5268" s="7"/>
    </row>
    <row r="5269" ht="12.75">
      <c r="S5269" s="7"/>
    </row>
    <row r="5270" ht="12.75">
      <c r="S5270" s="7"/>
    </row>
    <row r="5271" ht="12.75">
      <c r="S5271" s="7"/>
    </row>
    <row r="5272" ht="12.75">
      <c r="S5272" s="7"/>
    </row>
    <row r="5273" ht="12.75">
      <c r="S5273" s="7"/>
    </row>
    <row r="5274" ht="12.75">
      <c r="S5274" s="7"/>
    </row>
    <row r="5275" ht="12.75">
      <c r="S5275" s="7"/>
    </row>
    <row r="5276" ht="12.75">
      <c r="S5276" s="7"/>
    </row>
    <row r="5277" ht="12.75">
      <c r="S5277" s="7"/>
    </row>
    <row r="5278" ht="12.75">
      <c r="S5278" s="7"/>
    </row>
    <row r="5279" ht="12.75">
      <c r="S5279" s="7"/>
    </row>
    <row r="5280" ht="12.75">
      <c r="S5280" s="7"/>
    </row>
    <row r="5281" ht="12.75">
      <c r="S5281" s="7"/>
    </row>
    <row r="5282" ht="12.75">
      <c r="S5282" s="7"/>
    </row>
    <row r="5283" ht="12.75">
      <c r="S5283" s="7"/>
    </row>
    <row r="5284" ht="12.75">
      <c r="S5284" s="7"/>
    </row>
    <row r="5285" ht="12.75">
      <c r="S5285" s="7"/>
    </row>
    <row r="5286" ht="12.75">
      <c r="S5286" s="7"/>
    </row>
    <row r="5287" ht="12.75">
      <c r="S5287" s="7"/>
    </row>
    <row r="5288" ht="12.75">
      <c r="S5288" s="7"/>
    </row>
    <row r="5289" ht="12.75">
      <c r="S5289" s="7"/>
    </row>
    <row r="5290" ht="12.75">
      <c r="S5290" s="7"/>
    </row>
    <row r="5291" ht="12.75">
      <c r="S5291" s="7"/>
    </row>
    <row r="5292" ht="12.75">
      <c r="S5292" s="7"/>
    </row>
    <row r="5293" ht="12.75">
      <c r="S5293" s="7"/>
    </row>
    <row r="5294" ht="12.75">
      <c r="S5294" s="7"/>
    </row>
    <row r="5295" ht="12.75">
      <c r="S5295" s="7"/>
    </row>
    <row r="5296" ht="12.75">
      <c r="S5296" s="7"/>
    </row>
    <row r="5297" ht="12.75">
      <c r="S5297" s="7"/>
    </row>
    <row r="5298" ht="12.75">
      <c r="S5298" s="7"/>
    </row>
    <row r="5299" ht="12.75">
      <c r="S5299" s="7"/>
    </row>
    <row r="5300" ht="12.75">
      <c r="S5300" s="7"/>
    </row>
    <row r="5301" ht="12.75">
      <c r="S5301" s="7"/>
    </row>
    <row r="5302" ht="12.75">
      <c r="S5302" s="7"/>
    </row>
    <row r="5303" ht="12.75">
      <c r="S5303" s="7"/>
    </row>
    <row r="5304" ht="12.75">
      <c r="S5304" s="7"/>
    </row>
    <row r="5305" ht="12.75">
      <c r="S5305" s="7"/>
    </row>
    <row r="5306" ht="12.75">
      <c r="S5306" s="7"/>
    </row>
    <row r="5307" ht="12.75">
      <c r="S5307" s="7"/>
    </row>
    <row r="5308" ht="12.75">
      <c r="S5308" s="7"/>
    </row>
    <row r="5309" ht="12.75">
      <c r="S5309" s="7"/>
    </row>
    <row r="5310" ht="12.75">
      <c r="S5310" s="7"/>
    </row>
    <row r="5311" ht="12.75">
      <c r="S5311" s="7"/>
    </row>
    <row r="5312" ht="12.75">
      <c r="S5312" s="7"/>
    </row>
    <row r="5313" ht="12.75">
      <c r="S5313" s="7"/>
    </row>
    <row r="5314" ht="12.75">
      <c r="S5314" s="7"/>
    </row>
    <row r="5315" ht="12.75">
      <c r="S5315" s="7"/>
    </row>
    <row r="5316" ht="12.75">
      <c r="S5316" s="7"/>
    </row>
    <row r="5317" ht="12.75">
      <c r="S5317" s="7"/>
    </row>
    <row r="5318" ht="12.75">
      <c r="S5318" s="7"/>
    </row>
    <row r="5319" ht="12.75">
      <c r="S5319" s="7"/>
    </row>
    <row r="5320" ht="12.75">
      <c r="S5320" s="7"/>
    </row>
    <row r="5321" ht="12.75">
      <c r="S5321" s="7"/>
    </row>
    <row r="5322" ht="12.75">
      <c r="S5322" s="7"/>
    </row>
    <row r="5323" ht="12.75">
      <c r="S5323" s="7"/>
    </row>
    <row r="5324" ht="12.75">
      <c r="S5324" s="7"/>
    </row>
    <row r="5325" ht="12.75">
      <c r="S5325" s="7"/>
    </row>
    <row r="5326" ht="12.75">
      <c r="S5326" s="7"/>
    </row>
    <row r="5327" ht="12.75">
      <c r="S5327" s="7"/>
    </row>
    <row r="5328" ht="12.75">
      <c r="S5328" s="7"/>
    </row>
    <row r="5329" ht="12.75">
      <c r="S5329" s="7"/>
    </row>
    <row r="5330" ht="12.75">
      <c r="S5330" s="7"/>
    </row>
    <row r="5331" ht="12.75">
      <c r="S5331" s="7"/>
    </row>
    <row r="5332" ht="12.75">
      <c r="S5332" s="7"/>
    </row>
    <row r="5333" ht="12.75">
      <c r="S5333" s="7"/>
    </row>
    <row r="5334" ht="12.75">
      <c r="S5334" s="7"/>
    </row>
    <row r="5335" ht="12.75">
      <c r="S5335" s="7"/>
    </row>
    <row r="5336" ht="12.75">
      <c r="S5336" s="7"/>
    </row>
    <row r="5337" ht="12.75">
      <c r="S5337" s="7"/>
    </row>
    <row r="5338" ht="12.75">
      <c r="S5338" s="7"/>
    </row>
    <row r="5339" ht="12.75">
      <c r="S5339" s="7"/>
    </row>
    <row r="5340" ht="12.75">
      <c r="S5340" s="7"/>
    </row>
    <row r="5341" ht="12.75">
      <c r="S5341" s="7"/>
    </row>
    <row r="5342" ht="12.75">
      <c r="S5342" s="7"/>
    </row>
    <row r="5343" ht="12.75">
      <c r="S5343" s="7"/>
    </row>
    <row r="5344" ht="12.75">
      <c r="S5344" s="7"/>
    </row>
    <row r="5345" ht="12.75">
      <c r="S5345" s="7"/>
    </row>
    <row r="5346" ht="12.75">
      <c r="S5346" s="7"/>
    </row>
    <row r="5347" ht="12.75">
      <c r="S5347" s="7"/>
    </row>
    <row r="5348" ht="12.75">
      <c r="S5348" s="7"/>
    </row>
    <row r="5349" ht="12.75">
      <c r="S5349" s="7"/>
    </row>
    <row r="5350" ht="12.75">
      <c r="S5350" s="7"/>
    </row>
    <row r="5351" ht="12.75">
      <c r="S5351" s="7"/>
    </row>
    <row r="5352" ht="12.75">
      <c r="S5352" s="7"/>
    </row>
    <row r="5353" ht="12.75">
      <c r="S5353" s="7"/>
    </row>
    <row r="5354" ht="12.75">
      <c r="S5354" s="7"/>
    </row>
    <row r="5355" ht="12.75">
      <c r="S5355" s="7"/>
    </row>
    <row r="5356" ht="12.75">
      <c r="S5356" s="7"/>
    </row>
    <row r="5357" ht="12.75">
      <c r="S5357" s="7"/>
    </row>
    <row r="5358" ht="12.75">
      <c r="S5358" s="7"/>
    </row>
    <row r="5359" ht="12.75">
      <c r="S5359" s="7"/>
    </row>
    <row r="5360" ht="12.75">
      <c r="S5360" s="7"/>
    </row>
    <row r="5361" ht="12.75">
      <c r="S5361" s="7"/>
    </row>
    <row r="5362" ht="12.75">
      <c r="S5362" s="7"/>
    </row>
    <row r="5363" ht="12.75">
      <c r="S5363" s="7"/>
    </row>
    <row r="5364" ht="12.75">
      <c r="S5364" s="7"/>
    </row>
    <row r="5365" ht="12.75">
      <c r="S5365" s="7"/>
    </row>
    <row r="5366" ht="12.75">
      <c r="S5366" s="7"/>
    </row>
    <row r="5367" ht="12.75">
      <c r="S5367" s="7"/>
    </row>
    <row r="5368" ht="12.75">
      <c r="S5368" s="7"/>
    </row>
    <row r="5369" ht="12.75">
      <c r="S5369" s="7"/>
    </row>
    <row r="5370" ht="12.75">
      <c r="S5370" s="7"/>
    </row>
    <row r="5371" ht="12.75">
      <c r="S5371" s="7"/>
    </row>
    <row r="5372" ht="12.75">
      <c r="S5372" s="7"/>
    </row>
    <row r="5373" ht="12.75">
      <c r="S5373" s="7"/>
    </row>
    <row r="5374" ht="12.75">
      <c r="S5374" s="7"/>
    </row>
    <row r="5375" ht="12.75">
      <c r="S5375" s="7"/>
    </row>
    <row r="5376" ht="12.75">
      <c r="S5376" s="7"/>
    </row>
    <row r="5377" ht="12.75">
      <c r="S5377" s="7"/>
    </row>
    <row r="5378" ht="12.75">
      <c r="S5378" s="7"/>
    </row>
    <row r="5379" ht="12.75">
      <c r="S5379" s="7"/>
    </row>
    <row r="5380" ht="12.75">
      <c r="S5380" s="7"/>
    </row>
    <row r="5381" ht="12.75">
      <c r="S5381" s="7"/>
    </row>
    <row r="5382" ht="12.75">
      <c r="S5382" s="7"/>
    </row>
    <row r="5383" ht="12.75">
      <c r="S5383" s="7"/>
    </row>
    <row r="5384" ht="12.75">
      <c r="S5384" s="7"/>
    </row>
    <row r="5385" ht="12.75">
      <c r="S5385" s="7"/>
    </row>
    <row r="5386" ht="12.75">
      <c r="S5386" s="7"/>
    </row>
    <row r="5387" ht="12.75">
      <c r="S5387" s="7"/>
    </row>
    <row r="5388" ht="12.75">
      <c r="S5388" s="7"/>
    </row>
    <row r="5389" ht="12.75">
      <c r="S5389" s="7"/>
    </row>
    <row r="5390" ht="12.75">
      <c r="S5390" s="7"/>
    </row>
    <row r="5391" ht="12.75">
      <c r="S5391" s="7"/>
    </row>
    <row r="5392" ht="12.75">
      <c r="S5392" s="7"/>
    </row>
    <row r="5393" ht="12.75">
      <c r="S5393" s="7"/>
    </row>
    <row r="5394" ht="12.75">
      <c r="S5394" s="7"/>
    </row>
    <row r="5395" ht="12.75">
      <c r="S5395" s="7"/>
    </row>
    <row r="5396" ht="12.75">
      <c r="S5396" s="7"/>
    </row>
    <row r="5397" ht="12.75">
      <c r="S5397" s="7"/>
    </row>
    <row r="5398" ht="12.75">
      <c r="S5398" s="7"/>
    </row>
    <row r="5399" ht="12.75">
      <c r="S5399" s="7"/>
    </row>
    <row r="5400" ht="12.75">
      <c r="S5400" s="7"/>
    </row>
    <row r="5401" ht="12.75">
      <c r="S5401" s="7"/>
    </row>
    <row r="5402" ht="12.75">
      <c r="S5402" s="7"/>
    </row>
    <row r="5403" ht="12.75">
      <c r="S5403" s="7"/>
    </row>
    <row r="5404" ht="12.75">
      <c r="S5404" s="7"/>
    </row>
    <row r="5405" ht="12.75">
      <c r="S5405" s="7"/>
    </row>
    <row r="5406" ht="12.75">
      <c r="S5406" s="7"/>
    </row>
    <row r="5407" ht="12.75">
      <c r="S5407" s="7"/>
    </row>
    <row r="5408" ht="12.75">
      <c r="S5408" s="7"/>
    </row>
    <row r="5409" ht="12.75">
      <c r="S5409" s="7"/>
    </row>
    <row r="5410" ht="12.75">
      <c r="S5410" s="7"/>
    </row>
    <row r="5411" ht="12.75">
      <c r="S5411" s="7"/>
    </row>
    <row r="5412" ht="12.75">
      <c r="S5412" s="7"/>
    </row>
    <row r="5413" ht="12.75">
      <c r="S5413" s="7"/>
    </row>
    <row r="5414" ht="12.75">
      <c r="S5414" s="7"/>
    </row>
    <row r="5415" ht="12.75">
      <c r="S5415" s="7"/>
    </row>
    <row r="5416" ht="12.75">
      <c r="S5416" s="7"/>
    </row>
    <row r="5417" ht="12.75">
      <c r="S5417" s="7"/>
    </row>
    <row r="5418" ht="12.75">
      <c r="S5418" s="7"/>
    </row>
    <row r="5419" ht="12.75">
      <c r="S5419" s="7"/>
    </row>
    <row r="5420" ht="12.75">
      <c r="S5420" s="7"/>
    </row>
    <row r="5421" ht="12.75">
      <c r="S5421" s="7"/>
    </row>
    <row r="5422" ht="12.75">
      <c r="S5422" s="7"/>
    </row>
    <row r="5423" ht="12.75">
      <c r="S5423" s="7"/>
    </row>
    <row r="5424" ht="12.75">
      <c r="S5424" s="7"/>
    </row>
    <row r="5425" ht="12.75">
      <c r="S5425" s="7"/>
    </row>
    <row r="5426" ht="12.75">
      <c r="S5426" s="7"/>
    </row>
    <row r="5427" ht="12.75">
      <c r="S5427" s="7"/>
    </row>
    <row r="5428" ht="12.75">
      <c r="S5428" s="7"/>
    </row>
    <row r="5429" ht="12.75">
      <c r="S5429" s="7"/>
    </row>
    <row r="5430" ht="12.75">
      <c r="S5430" s="7"/>
    </row>
    <row r="5431" ht="12.75">
      <c r="S5431" s="7"/>
    </row>
    <row r="5432" ht="12.75">
      <c r="S5432" s="7"/>
    </row>
    <row r="5433" ht="12.75">
      <c r="S5433" s="7"/>
    </row>
    <row r="5434" ht="12.75">
      <c r="S5434" s="7"/>
    </row>
    <row r="5435" ht="12.75">
      <c r="S5435" s="7"/>
    </row>
    <row r="5436" ht="12.75">
      <c r="S5436" s="7"/>
    </row>
    <row r="5437" ht="12.75">
      <c r="S5437" s="7"/>
    </row>
    <row r="5438" ht="12.75">
      <c r="S5438" s="7"/>
    </row>
    <row r="5439" ht="12.75">
      <c r="S5439" s="7"/>
    </row>
    <row r="5440" ht="12.75">
      <c r="S5440" s="7"/>
    </row>
    <row r="5441" ht="12.75">
      <c r="S5441" s="7"/>
    </row>
    <row r="5442" ht="12.75">
      <c r="S5442" s="7"/>
    </row>
    <row r="5443" ht="12.75">
      <c r="S5443" s="7"/>
    </row>
    <row r="5444" ht="12.75">
      <c r="S5444" s="7"/>
    </row>
    <row r="5445" ht="12.75">
      <c r="S5445" s="7"/>
    </row>
    <row r="5446" ht="12.75">
      <c r="S5446" s="7"/>
    </row>
    <row r="5447" ht="12.75">
      <c r="S5447" s="7"/>
    </row>
    <row r="5448" ht="12.75">
      <c r="S5448" s="7"/>
    </row>
    <row r="5449" ht="12.75">
      <c r="S5449" s="7"/>
    </row>
    <row r="5450" ht="12.75">
      <c r="S5450" s="7"/>
    </row>
    <row r="5451" ht="12.75">
      <c r="S5451" s="7"/>
    </row>
    <row r="5452" ht="12.75">
      <c r="S5452" s="7"/>
    </row>
    <row r="5453" ht="12.75">
      <c r="S5453" s="7"/>
    </row>
    <row r="5454" ht="12.75">
      <c r="S5454" s="7"/>
    </row>
    <row r="5455" ht="12.75">
      <c r="S5455" s="7"/>
    </row>
    <row r="5456" ht="12.75">
      <c r="S5456" s="7"/>
    </row>
    <row r="5457" ht="12.75">
      <c r="S5457" s="7"/>
    </row>
    <row r="5458" ht="12.75">
      <c r="S5458" s="7"/>
    </row>
    <row r="5459" ht="12.75">
      <c r="S5459" s="7"/>
    </row>
    <row r="5460" ht="12.75">
      <c r="S5460" s="7"/>
    </row>
    <row r="5461" ht="12.75">
      <c r="S5461" s="7"/>
    </row>
    <row r="5462" ht="12.75">
      <c r="S5462" s="7"/>
    </row>
    <row r="5463" ht="12.75">
      <c r="S5463" s="7"/>
    </row>
    <row r="5464" ht="12.75">
      <c r="S5464" s="7"/>
    </row>
    <row r="5465" ht="12.75">
      <c r="S5465" s="7"/>
    </row>
    <row r="5466" ht="12.75">
      <c r="S5466" s="7"/>
    </row>
    <row r="5467" ht="12.75">
      <c r="S5467" s="7"/>
    </row>
    <row r="5468" ht="12.75">
      <c r="S5468" s="7"/>
    </row>
    <row r="5469" ht="12.75">
      <c r="S5469" s="7"/>
    </row>
    <row r="5470" ht="12.75">
      <c r="S5470" s="7"/>
    </row>
    <row r="5471" ht="12.75">
      <c r="S5471" s="7"/>
    </row>
    <row r="5472" ht="12.75">
      <c r="S5472" s="7"/>
    </row>
    <row r="5473" ht="12.75">
      <c r="S5473" s="7"/>
    </row>
    <row r="5474" ht="12.75">
      <c r="S5474" s="7"/>
    </row>
    <row r="5475" ht="12.75">
      <c r="S5475" s="7"/>
    </row>
    <row r="5476" ht="12.75">
      <c r="S5476" s="7"/>
    </row>
    <row r="5477" ht="12.75">
      <c r="S5477" s="7"/>
    </row>
    <row r="5478" ht="12.75">
      <c r="S5478" s="7"/>
    </row>
    <row r="5479" ht="12.75">
      <c r="S5479" s="7"/>
    </row>
    <row r="5480" ht="12.75">
      <c r="S5480" s="7"/>
    </row>
    <row r="5481" ht="12.75">
      <c r="S5481" s="7"/>
    </row>
    <row r="5482" ht="12.75">
      <c r="S5482" s="7"/>
    </row>
    <row r="5483" ht="12.75">
      <c r="S5483" s="7"/>
    </row>
    <row r="5484" ht="12.75">
      <c r="S5484" s="7"/>
    </row>
    <row r="5485" ht="12.75">
      <c r="S5485" s="7"/>
    </row>
    <row r="5486" ht="12.75">
      <c r="S5486" s="7"/>
    </row>
    <row r="5487" ht="12.75">
      <c r="S5487" s="7"/>
    </row>
    <row r="5488" ht="12.75">
      <c r="S5488" s="7"/>
    </row>
    <row r="5489" ht="12.75">
      <c r="S5489" s="7"/>
    </row>
    <row r="5490" ht="12.75">
      <c r="S5490" s="7"/>
    </row>
    <row r="5491" ht="12.75">
      <c r="S5491" s="7"/>
    </row>
    <row r="5492" ht="12.75">
      <c r="S5492" s="7"/>
    </row>
    <row r="5493" ht="12.75">
      <c r="S5493" s="7"/>
    </row>
    <row r="5494" ht="12.75">
      <c r="S5494" s="7"/>
    </row>
    <row r="5495" ht="12.75">
      <c r="S5495" s="7"/>
    </row>
    <row r="5496" ht="12.75">
      <c r="S5496" s="7"/>
    </row>
    <row r="5497" ht="12.75">
      <c r="S5497" s="7"/>
    </row>
    <row r="5498" ht="12.75">
      <c r="S5498" s="7"/>
    </row>
    <row r="5499" ht="12.75">
      <c r="S5499" s="7"/>
    </row>
    <row r="5500" ht="12.75">
      <c r="S5500" s="7"/>
    </row>
    <row r="5501" ht="12.75">
      <c r="S5501" s="7"/>
    </row>
    <row r="5502" ht="12.75">
      <c r="S5502" s="7"/>
    </row>
    <row r="5503" ht="12.75">
      <c r="S5503" s="7"/>
    </row>
    <row r="5504" ht="12.75">
      <c r="S5504" s="7"/>
    </row>
    <row r="5505" ht="12.75">
      <c r="S5505" s="7"/>
    </row>
    <row r="5506" ht="12.75">
      <c r="S5506" s="7"/>
    </row>
    <row r="5507" ht="12.75">
      <c r="S5507" s="7"/>
    </row>
    <row r="5508" ht="12.75">
      <c r="S5508" s="7"/>
    </row>
    <row r="5509" ht="12.75">
      <c r="S5509" s="7"/>
    </row>
    <row r="5510" ht="12.75">
      <c r="S5510" s="7"/>
    </row>
    <row r="5511" ht="12.75">
      <c r="S5511" s="7"/>
    </row>
    <row r="5512" ht="12.75">
      <c r="S5512" s="7"/>
    </row>
    <row r="5513" ht="12.75">
      <c r="S5513" s="7"/>
    </row>
    <row r="5514" ht="12.75">
      <c r="S5514" s="7"/>
    </row>
    <row r="5515" ht="12.75">
      <c r="S5515" s="7"/>
    </row>
    <row r="5516" ht="12.75">
      <c r="S5516" s="7"/>
    </row>
    <row r="5517" ht="12.75">
      <c r="S5517" s="7"/>
    </row>
    <row r="5518" ht="12.75">
      <c r="S5518" s="7"/>
    </row>
    <row r="5519" ht="12.75">
      <c r="S5519" s="7"/>
    </row>
    <row r="5520" ht="12.75">
      <c r="S5520" s="7"/>
    </row>
    <row r="5521" ht="12.75">
      <c r="S5521" s="7"/>
    </row>
    <row r="5522" ht="12.75">
      <c r="S5522" s="7"/>
    </row>
    <row r="5523" ht="12.75">
      <c r="S5523" s="7"/>
    </row>
    <row r="5524" ht="12.75">
      <c r="S5524" s="7"/>
    </row>
    <row r="5525" ht="12.75">
      <c r="S5525" s="7"/>
    </row>
    <row r="5526" ht="12.75">
      <c r="S5526" s="7"/>
    </row>
    <row r="5527" ht="12.75">
      <c r="S5527" s="7"/>
    </row>
    <row r="5528" ht="12.75">
      <c r="S5528" s="7"/>
    </row>
    <row r="5529" ht="12.75">
      <c r="S5529" s="7"/>
    </row>
    <row r="5530" ht="12.75">
      <c r="S5530" s="7"/>
    </row>
    <row r="5531" ht="12.75">
      <c r="S5531" s="7"/>
    </row>
    <row r="5532" ht="12.75">
      <c r="S5532" s="7"/>
    </row>
    <row r="5533" ht="12.75">
      <c r="S5533" s="7"/>
    </row>
    <row r="5534" ht="12.75">
      <c r="S5534" s="7"/>
    </row>
    <row r="5535" ht="12.75">
      <c r="S5535" s="7"/>
    </row>
    <row r="5536" ht="12.75">
      <c r="S5536" s="7"/>
    </row>
    <row r="5537" ht="12.75">
      <c r="S5537" s="7"/>
    </row>
    <row r="5538" ht="12.75">
      <c r="S5538" s="7"/>
    </row>
    <row r="5539" ht="12.75">
      <c r="S5539" s="7"/>
    </row>
    <row r="5540" ht="12.75">
      <c r="S5540" s="7"/>
    </row>
    <row r="5541" ht="12.75">
      <c r="S5541" s="7"/>
    </row>
    <row r="5542" ht="12.75">
      <c r="S5542" s="7"/>
    </row>
    <row r="5543" ht="12.75">
      <c r="S5543" s="7"/>
    </row>
    <row r="5544" ht="12.75">
      <c r="S5544" s="7"/>
    </row>
    <row r="5545" ht="12.75">
      <c r="S5545" s="7"/>
    </row>
    <row r="5546" ht="12.75">
      <c r="S5546" s="7"/>
    </row>
    <row r="5547" ht="12.75">
      <c r="S5547" s="7"/>
    </row>
    <row r="5548" ht="12.75">
      <c r="S5548" s="7"/>
    </row>
    <row r="5549" ht="12.75">
      <c r="S5549" s="7"/>
    </row>
    <row r="5550" ht="12.75">
      <c r="S5550" s="7"/>
    </row>
    <row r="5551" ht="12.75">
      <c r="S5551" s="7"/>
    </row>
    <row r="5552" ht="12.75">
      <c r="S5552" s="7"/>
    </row>
    <row r="5553" ht="12.75">
      <c r="S5553" s="7"/>
    </row>
    <row r="5554" ht="12.75">
      <c r="S5554" s="7"/>
    </row>
    <row r="5555" ht="12.75">
      <c r="S5555" s="7"/>
    </row>
    <row r="5556" ht="12.75">
      <c r="S5556" s="7"/>
    </row>
    <row r="5557" ht="12.75">
      <c r="S5557" s="7"/>
    </row>
    <row r="5558" ht="12.75">
      <c r="S5558" s="7"/>
    </row>
    <row r="5559" ht="12.75">
      <c r="S5559" s="7"/>
    </row>
    <row r="5560" ht="12.75">
      <c r="S5560" s="7"/>
    </row>
    <row r="5561" ht="12.75">
      <c r="S5561" s="7"/>
    </row>
    <row r="5562" ht="12.75">
      <c r="S5562" s="7"/>
    </row>
    <row r="5563" ht="12.75">
      <c r="S5563" s="7"/>
    </row>
    <row r="5564" ht="12.75">
      <c r="S5564" s="7"/>
    </row>
    <row r="5565" ht="12.75">
      <c r="S5565" s="7"/>
    </row>
    <row r="5566" ht="12.75">
      <c r="S5566" s="7"/>
    </row>
    <row r="5567" ht="12.75">
      <c r="S5567" s="7"/>
    </row>
    <row r="5568" ht="12.75">
      <c r="S5568" s="7"/>
    </row>
    <row r="5569" ht="12.75">
      <c r="S5569" s="7"/>
    </row>
    <row r="5570" ht="12.75">
      <c r="S5570" s="7"/>
    </row>
    <row r="5571" ht="12.75">
      <c r="S5571" s="7"/>
    </row>
    <row r="5572" ht="12.75">
      <c r="S5572" s="7"/>
    </row>
    <row r="5573" ht="12.75">
      <c r="S5573" s="7"/>
    </row>
    <row r="5574" ht="12.75">
      <c r="S5574" s="7"/>
    </row>
    <row r="5575" ht="12.75">
      <c r="S5575" s="7"/>
    </row>
    <row r="5576" ht="12.75">
      <c r="S5576" s="7"/>
    </row>
    <row r="5577" ht="12.75">
      <c r="S5577" s="7"/>
    </row>
    <row r="5578" ht="12.75">
      <c r="S5578" s="7"/>
    </row>
    <row r="5579" ht="12.75">
      <c r="S5579" s="7"/>
    </row>
    <row r="5580" ht="12.75">
      <c r="S5580" s="7"/>
    </row>
    <row r="5581" ht="12.75">
      <c r="S5581" s="7"/>
    </row>
    <row r="5582" ht="12.75">
      <c r="S5582" s="7"/>
    </row>
    <row r="5583" ht="12.75">
      <c r="S5583" s="7"/>
    </row>
    <row r="5584" ht="12.75">
      <c r="S5584" s="7"/>
    </row>
    <row r="5585" ht="12.75">
      <c r="S5585" s="7"/>
    </row>
    <row r="5586" ht="12.75">
      <c r="S5586" s="7"/>
    </row>
    <row r="5587" ht="12.75">
      <c r="S5587" s="7"/>
    </row>
    <row r="5588" ht="12.75">
      <c r="S5588" s="7"/>
    </row>
    <row r="5589" ht="12.75">
      <c r="S5589" s="7"/>
    </row>
    <row r="5590" ht="12.75">
      <c r="S5590" s="7"/>
    </row>
    <row r="5591" ht="12.75">
      <c r="S5591" s="7"/>
    </row>
    <row r="5592" ht="12.75">
      <c r="S5592" s="7"/>
    </row>
    <row r="5593" ht="12.75">
      <c r="S5593" s="7"/>
    </row>
    <row r="5594" ht="12.75">
      <c r="S5594" s="7"/>
    </row>
    <row r="5595" ht="12.75">
      <c r="S5595" s="7"/>
    </row>
    <row r="5596" ht="12.75">
      <c r="S5596" s="7"/>
    </row>
    <row r="5597" ht="12.75">
      <c r="S5597" s="7"/>
    </row>
    <row r="5598" ht="12.75">
      <c r="S5598" s="7"/>
    </row>
    <row r="5599" ht="12.75">
      <c r="S5599" s="7"/>
    </row>
    <row r="5600" ht="12.75">
      <c r="S5600" s="7"/>
    </row>
    <row r="5601" ht="12.75">
      <c r="S5601" s="7"/>
    </row>
    <row r="5602" ht="12.75">
      <c r="S5602" s="7"/>
    </row>
    <row r="5603" ht="12.75">
      <c r="S5603" s="7"/>
    </row>
    <row r="5604" ht="12.75">
      <c r="S5604" s="7"/>
    </row>
    <row r="5605" ht="12.75">
      <c r="S5605" s="7"/>
    </row>
    <row r="5606" ht="12.75">
      <c r="S5606" s="7"/>
    </row>
    <row r="5607" ht="12.75">
      <c r="S5607" s="7"/>
    </row>
    <row r="5608" ht="12.75">
      <c r="S5608" s="7"/>
    </row>
    <row r="5609" ht="12.75">
      <c r="S5609" s="7"/>
    </row>
    <row r="5610" ht="12.75">
      <c r="S5610" s="7"/>
    </row>
    <row r="5611" ht="12.75">
      <c r="S5611" s="7"/>
    </row>
    <row r="5612" ht="12.75">
      <c r="S5612" s="7"/>
    </row>
    <row r="5613" ht="12.75">
      <c r="S5613" s="7"/>
    </row>
    <row r="5614" ht="12.75">
      <c r="S5614" s="7"/>
    </row>
    <row r="5615" ht="12.75">
      <c r="S5615" s="7"/>
    </row>
    <row r="5616" ht="12.75">
      <c r="S5616" s="7"/>
    </row>
    <row r="5617" ht="12.75">
      <c r="S5617" s="7"/>
    </row>
    <row r="5618" ht="12.75">
      <c r="S5618" s="7"/>
    </row>
    <row r="5619" ht="12.75">
      <c r="S5619" s="7"/>
    </row>
    <row r="5620" ht="12.75">
      <c r="S5620" s="7"/>
    </row>
    <row r="5621" ht="12.75">
      <c r="S5621" s="7"/>
    </row>
  </sheetData>
  <mergeCells count="16">
    <mergeCell ref="K8:L8"/>
    <mergeCell ref="C101:C102"/>
    <mergeCell ref="AG459:AH459"/>
    <mergeCell ref="AH524:AI524"/>
    <mergeCell ref="K5:L5"/>
    <mergeCell ref="M5:N5"/>
    <mergeCell ref="K6:L6"/>
    <mergeCell ref="M6:N6"/>
    <mergeCell ref="E3:F3"/>
    <mergeCell ref="M3:R3"/>
    <mergeCell ref="M4:N4"/>
    <mergeCell ref="Q4:R4"/>
    <mergeCell ref="AL1:AM1"/>
    <mergeCell ref="AO1:AP1"/>
    <mergeCell ref="AR1:AS1"/>
    <mergeCell ref="BA1:BB1"/>
  </mergeCells>
  <printOptions horizontalCentered="1" verticalCentered="1"/>
  <pageMargins left="0.7875" right="0.7875" top="0.9840277777777778" bottom="0.9840277777777778" header="0.5118055555555556" footer="0.5118055555555556"/>
  <pageSetup fitToHeight="0" horizontalDpi="300" verticalDpi="300" orientation="landscape" paperSize="9" scale="66" r:id="rId1"/>
  <headerFooter alignWithMargins="0">
    <oddFooter>&amp;C&amp;F</oddFooter>
  </headerFooter>
  <rowBreaks count="15" manualBreakCount="15">
    <brk id="39" max="255" man="1"/>
    <brk id="67" max="255" man="1"/>
    <brk id="94" max="255" man="1"/>
    <brk id="120" max="255" man="1"/>
    <brk id="147" max="255" man="1"/>
    <brk id="174" max="255" man="1"/>
    <brk id="201" max="255" man="1"/>
    <brk id="230" max="255" man="1"/>
    <brk id="263" max="255" man="1"/>
    <brk id="289" max="255" man="1"/>
    <brk id="319" max="255" man="1"/>
    <brk id="339" max="255" man="1"/>
    <brk id="365" max="255" man="1"/>
    <brk id="389" max="255" man="1"/>
    <brk id="41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cols>
    <col min="1" max="16384" width="11.00390625" style="1" customWidth="1"/>
  </cols>
  <sheetData/>
  <printOptions/>
  <pageMargins left="0.7875" right="0.7875" top="0.7875" bottom="0.7875" header="0.49236111111111114" footer="0.49236111111111114"/>
  <pageSetup fitToHeight="0"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cols>
    <col min="1" max="16384" width="11.00390625" style="1" customWidth="1"/>
  </cols>
  <sheetData/>
  <printOptions/>
  <pageMargins left="0.7875" right="0.7875" top="0.7875" bottom="0.7875" header="0.49236111111111114" footer="0.49236111111111114"/>
  <pageSetup fitToHeight="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DGGDI</dc:creator>
  <cp:keywords/>
  <dc:description/>
  <cp:lastModifiedBy>MINEFI</cp:lastModifiedBy>
  <cp:lastPrinted>2005-09-15T08:47:45Z</cp:lastPrinted>
  <dcterms:created xsi:type="dcterms:W3CDTF">2001-08-16T13:28:20Z</dcterms:created>
  <dcterms:modified xsi:type="dcterms:W3CDTF">2005-05-17T16:41:22Z</dcterms:modified>
  <cp:category/>
  <cp:version/>
  <cp:contentType/>
  <cp:contentStatus/>
  <cp:revision>19</cp:revision>
</cp:coreProperties>
</file>

<file path=docProps/custom.xml><?xml version="1.0" encoding="utf-8"?>
<Properties xmlns="http://schemas.openxmlformats.org/officeDocument/2006/custom-properties" xmlns:vt="http://schemas.openxmlformats.org/officeDocument/2006/docPropsVTypes"/>
</file>